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ambioclimaticogobdo-my.sharepoint.com/personal/e_rosado_cambioclimaticogobdo_onmicrosoft_com/Documents/Escritorio/PACC 2023/Luz Maria/"/>
    </mc:Choice>
  </mc:AlternateContent>
  <xr:revisionPtr revIDLastSave="0" documentId="8_{EFD051CA-503D-4DAC-86BC-248B30F5A4E7}" xr6:coauthVersionLast="47" xr6:coauthVersionMax="47" xr10:uidLastSave="{00000000-0000-0000-0000-000000000000}"/>
  <bookViews>
    <workbookView xWindow="28680" yWindow="-120" windowWidth="20730" windowHeight="11160" xr2:uid="{C4DE4245-0A13-4FA1-BD26-C658D42C4D87}"/>
  </bookViews>
  <sheets>
    <sheet name="Hoja1" sheetId="1" r:id="rId1"/>
    <sheet name="Hoja2" sheetId="2" r:id="rId2"/>
  </sheets>
  <externalReferences>
    <externalReference r:id="rId3"/>
    <externalReference r:id="rId4"/>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u">'[2]Informacion '!$E$3</definedName>
    <definedName name="UnidadesList">'[2]Informacion '!$Q$3:$Q$43</definedName>
    <definedName name="UNSPSCCode">[1]UNSPSC!$A$1:$A$18298</definedName>
    <definedName name="UNSPSCDes">[1]UNSPSC!$B$1:$B$18298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02" i="1" l="1"/>
  <c r="F1203" i="1" s="1"/>
  <c r="F314" i="1"/>
  <c r="F315" i="1"/>
  <c r="F316" i="1"/>
  <c r="F317" i="1"/>
  <c r="F318" i="1"/>
  <c r="F319" i="1"/>
  <c r="F320" i="1"/>
  <c r="F321" i="1"/>
  <c r="F322" i="1"/>
  <c r="F323" i="1"/>
  <c r="F324" i="1"/>
  <c r="F325" i="1"/>
  <c r="F326" i="1"/>
  <c r="F327" i="1"/>
  <c r="F328" i="1"/>
  <c r="F329" i="1"/>
  <c r="F330" i="1"/>
  <c r="F897" i="1" l="1"/>
  <c r="F1190" i="1"/>
  <c r="F1178" i="1"/>
  <c r="F1166" i="1"/>
  <c r="F1154" i="1"/>
  <c r="F1142" i="1"/>
  <c r="F1131" i="1"/>
  <c r="F1119" i="1"/>
  <c r="F1107" i="1"/>
  <c r="F1082" i="1"/>
  <c r="F1083" i="1" s="1"/>
  <c r="F995" i="1"/>
  <c r="F894" i="1"/>
  <c r="F946" i="1"/>
  <c r="C1094" i="1"/>
  <c r="C1091" i="1"/>
  <c r="C1089" i="1"/>
  <c r="F896" i="1"/>
  <c r="F1067" i="1"/>
  <c r="F762" i="1"/>
  <c r="F764" i="1"/>
  <c r="F763" i="1"/>
  <c r="F899" i="1"/>
  <c r="F1068" i="1"/>
  <c r="F1069" i="1"/>
  <c r="F900" i="1"/>
  <c r="F1094" i="1"/>
  <c r="F1070" i="1" l="1"/>
  <c r="F1095" i="1"/>
  <c r="F1054" i="1" l="1"/>
  <c r="F1055" i="1" s="1"/>
  <c r="F1043" i="1" l="1"/>
  <c r="F1031" i="1"/>
  <c r="F1019" i="1"/>
  <c r="F1020" i="1" s="1"/>
  <c r="F1007" i="1"/>
  <c r="F1008" i="1" s="1"/>
  <c r="F994" i="1"/>
  <c r="F996" i="1" s="1"/>
  <c r="F982" i="1"/>
  <c r="F983" i="1" s="1"/>
  <c r="F971" i="1"/>
  <c r="F972" i="1" s="1"/>
  <c r="F960" i="1"/>
  <c r="F961" i="1" s="1"/>
  <c r="F948" i="1"/>
  <c r="F947" i="1"/>
  <c r="F945" i="1"/>
  <c r="F944" i="1"/>
  <c r="F932" i="1"/>
  <c r="F920" i="1"/>
  <c r="F919" i="1"/>
  <c r="F918" i="1"/>
  <c r="F905" i="1"/>
  <c r="F904" i="1"/>
  <c r="F903" i="1"/>
  <c r="F902" i="1"/>
  <c r="F901" i="1"/>
  <c r="F898" i="1"/>
  <c r="F895" i="1"/>
  <c r="F881" i="1"/>
  <c r="F880" i="1"/>
  <c r="F879" i="1"/>
  <c r="F878" i="1"/>
  <c r="F866" i="1"/>
  <c r="F865" i="1"/>
  <c r="F864" i="1"/>
  <c r="F853" i="1"/>
  <c r="F852" i="1"/>
  <c r="F854" i="1" s="1"/>
  <c r="F841" i="1"/>
  <c r="F842" i="1" s="1"/>
  <c r="F829" i="1"/>
  <c r="F830" i="1" s="1"/>
  <c r="F817" i="1"/>
  <c r="F818" i="1" s="1"/>
  <c r="F805" i="1"/>
  <c r="F794" i="1"/>
  <c r="F793" i="1"/>
  <c r="F792" i="1"/>
  <c r="F781" i="1"/>
  <c r="F782" i="1" s="1"/>
  <c r="F769" i="1"/>
  <c r="F768" i="1"/>
  <c r="F767" i="1"/>
  <c r="F766" i="1"/>
  <c r="F765" i="1"/>
  <c r="F761" i="1"/>
  <c r="F760" i="1"/>
  <c r="F746" i="1"/>
  <c r="F745" i="1"/>
  <c r="F744" i="1"/>
  <c r="F733" i="1"/>
  <c r="F732" i="1"/>
  <c r="F721" i="1"/>
  <c r="F720" i="1"/>
  <c r="F708" i="1"/>
  <c r="F707" i="1"/>
  <c r="F706" i="1"/>
  <c r="F705" i="1"/>
  <c r="F704" i="1"/>
  <c r="F692" i="1"/>
  <c r="F691" i="1"/>
  <c r="F690" i="1"/>
  <c r="F689" i="1"/>
  <c r="F688" i="1"/>
  <c r="F687" i="1"/>
  <c r="F675" i="1"/>
  <c r="F674" i="1"/>
  <c r="F663" i="1"/>
  <c r="F662" i="1"/>
  <c r="F651" i="1"/>
  <c r="F650" i="1"/>
  <c r="F649" i="1"/>
  <c r="F648" i="1"/>
  <c r="F647" i="1"/>
  <c r="F646" i="1"/>
  <c r="D634" i="1"/>
  <c r="F634" i="1" s="1"/>
  <c r="D633" i="1"/>
  <c r="F633" i="1" s="1"/>
  <c r="F635" i="1" s="1"/>
  <c r="F621" i="1"/>
  <c r="F620" i="1"/>
  <c r="F619" i="1"/>
  <c r="F622" i="1" s="1"/>
  <c r="F607" i="1"/>
  <c r="F606" i="1"/>
  <c r="F605" i="1"/>
  <c r="F593" i="1"/>
  <c r="F592" i="1"/>
  <c r="F591" i="1"/>
  <c r="F590" i="1"/>
  <c r="F589" i="1"/>
  <c r="F588" i="1"/>
  <c r="F587" i="1"/>
  <c r="F586" i="1"/>
  <c r="F585" i="1"/>
  <c r="F584" i="1"/>
  <c r="F583" i="1"/>
  <c r="F582" i="1"/>
  <c r="F581" i="1"/>
  <c r="F580" i="1"/>
  <c r="F579" i="1"/>
  <c r="F578" i="1"/>
  <c r="F577" i="1"/>
  <c r="F576" i="1"/>
  <c r="F575" i="1"/>
  <c r="F563" i="1"/>
  <c r="F562" i="1"/>
  <c r="F561" i="1"/>
  <c r="F560" i="1"/>
  <c r="F559" i="1"/>
  <c r="F558" i="1"/>
  <c r="F557" i="1"/>
  <c r="F556" i="1"/>
  <c r="F555" i="1"/>
  <c r="F554" i="1"/>
  <c r="F553" i="1"/>
  <c r="F552" i="1"/>
  <c r="F551" i="1"/>
  <c r="F550" i="1"/>
  <c r="F549" i="1"/>
  <c r="F548" i="1"/>
  <c r="F547" i="1"/>
  <c r="F546" i="1"/>
  <c r="F545" i="1"/>
  <c r="F533" i="1"/>
  <c r="F532" i="1"/>
  <c r="F531" i="1"/>
  <c r="F530" i="1"/>
  <c r="F529" i="1"/>
  <c r="F528" i="1"/>
  <c r="F527" i="1"/>
  <c r="F526" i="1"/>
  <c r="F525" i="1"/>
  <c r="F524" i="1"/>
  <c r="F523" i="1"/>
  <c r="F522" i="1"/>
  <c r="F521" i="1"/>
  <c r="F520" i="1"/>
  <c r="F519" i="1"/>
  <c r="F518" i="1"/>
  <c r="F517" i="1"/>
  <c r="F516" i="1"/>
  <c r="F515" i="1"/>
  <c r="F514" i="1"/>
  <c r="F513" i="1"/>
  <c r="F512" i="1"/>
  <c r="F511" i="1"/>
  <c r="F510" i="1"/>
  <c r="F497" i="1"/>
  <c r="F496" i="1"/>
  <c r="F495" i="1"/>
  <c r="F494" i="1"/>
  <c r="F493" i="1"/>
  <c r="F492" i="1"/>
  <c r="F491" i="1"/>
  <c r="F490" i="1"/>
  <c r="F489" i="1"/>
  <c r="F488" i="1"/>
  <c r="F487" i="1"/>
  <c r="F486" i="1"/>
  <c r="F485" i="1"/>
  <c r="F484" i="1"/>
  <c r="F483" i="1"/>
  <c r="F482" i="1"/>
  <c r="F481" i="1"/>
  <c r="F480" i="1"/>
  <c r="F479" i="1"/>
  <c r="F478" i="1"/>
  <c r="F477" i="1"/>
  <c r="F476" i="1"/>
  <c r="F475" i="1"/>
  <c r="F474" i="1"/>
  <c r="F461" i="1"/>
  <c r="F460" i="1"/>
  <c r="F459" i="1"/>
  <c r="F458" i="1"/>
  <c r="F457" i="1"/>
  <c r="F456" i="1"/>
  <c r="F455" i="1"/>
  <c r="F454" i="1"/>
  <c r="F453" i="1"/>
  <c r="F452" i="1"/>
  <c r="F451" i="1"/>
  <c r="F450" i="1"/>
  <c r="F449" i="1"/>
  <c r="F448" i="1"/>
  <c r="F447" i="1"/>
  <c r="F446" i="1"/>
  <c r="F445" i="1"/>
  <c r="F444" i="1"/>
  <c r="F443" i="1"/>
  <c r="F442" i="1"/>
  <c r="F441" i="1"/>
  <c r="F440" i="1"/>
  <c r="F439" i="1"/>
  <c r="F438" i="1"/>
  <c r="F424" i="1"/>
  <c r="F423" i="1"/>
  <c r="F422" i="1"/>
  <c r="F421" i="1"/>
  <c r="F420" i="1"/>
  <c r="F419" i="1"/>
  <c r="F418" i="1"/>
  <c r="F417" i="1"/>
  <c r="F416" i="1"/>
  <c r="F415" i="1"/>
  <c r="F414" i="1"/>
  <c r="F413" i="1"/>
  <c r="F412" i="1"/>
  <c r="F411" i="1"/>
  <c r="F410" i="1"/>
  <c r="F409" i="1"/>
  <c r="F408" i="1"/>
  <c r="F407" i="1"/>
  <c r="F406" i="1"/>
  <c r="F405" i="1"/>
  <c r="F404" i="1"/>
  <c r="F403" i="1"/>
  <c r="F402" i="1"/>
  <c r="F401" i="1"/>
  <c r="F389" i="1"/>
  <c r="F388" i="1"/>
  <c r="F387" i="1"/>
  <c r="F386" i="1"/>
  <c r="F385" i="1"/>
  <c r="F384" i="1"/>
  <c r="F383" i="1"/>
  <c r="F382" i="1"/>
  <c r="F381" i="1"/>
  <c r="F380" i="1"/>
  <c r="F379" i="1"/>
  <c r="F378" i="1"/>
  <c r="F377" i="1"/>
  <c r="F376" i="1"/>
  <c r="F375" i="1"/>
  <c r="F374" i="1"/>
  <c r="F373" i="1"/>
  <c r="F359" i="1"/>
  <c r="F358" i="1"/>
  <c r="F357" i="1"/>
  <c r="F356" i="1"/>
  <c r="F355" i="1"/>
  <c r="F354" i="1"/>
  <c r="F353" i="1"/>
  <c r="F352" i="1"/>
  <c r="F351" i="1"/>
  <c r="F350" i="1"/>
  <c r="F349" i="1"/>
  <c r="F348" i="1"/>
  <c r="F347" i="1"/>
  <c r="F346" i="1"/>
  <c r="F345" i="1"/>
  <c r="F344" i="1"/>
  <c r="F343" i="1"/>
  <c r="F302" i="1"/>
  <c r="F301" i="1"/>
  <c r="F300" i="1"/>
  <c r="F299" i="1"/>
  <c r="F298" i="1"/>
  <c r="F297" i="1"/>
  <c r="F296" i="1"/>
  <c r="F295" i="1"/>
  <c r="F294" i="1"/>
  <c r="F293" i="1"/>
  <c r="F292" i="1"/>
  <c r="F291" i="1"/>
  <c r="F290" i="1"/>
  <c r="F289" i="1"/>
  <c r="F288" i="1"/>
  <c r="F287" i="1"/>
  <c r="F286" i="1"/>
  <c r="F274" i="1"/>
  <c r="F273" i="1"/>
  <c r="F272" i="1"/>
  <c r="F271" i="1"/>
  <c r="F270" i="1"/>
  <c r="F269" i="1"/>
  <c r="F268" i="1"/>
  <c r="F267" i="1"/>
  <c r="F266" i="1"/>
  <c r="F254" i="1"/>
  <c r="F253" i="1"/>
  <c r="F252" i="1"/>
  <c r="F251" i="1"/>
  <c r="F250" i="1"/>
  <c r="F249" i="1"/>
  <c r="F248" i="1"/>
  <c r="F247" i="1"/>
  <c r="F246" i="1"/>
  <c r="F234" i="1"/>
  <c r="F233" i="1"/>
  <c r="F232" i="1"/>
  <c r="F231" i="1"/>
  <c r="F230" i="1"/>
  <c r="F229" i="1"/>
  <c r="F228" i="1"/>
  <c r="F227" i="1"/>
  <c r="F226" i="1"/>
  <c r="F214" i="1"/>
  <c r="F213" i="1"/>
  <c r="F212" i="1"/>
  <c r="F211" i="1"/>
  <c r="F210" i="1"/>
  <c r="F209" i="1"/>
  <c r="F208" i="1"/>
  <c r="F207" i="1"/>
  <c r="F206" i="1"/>
  <c r="F194" i="1"/>
  <c r="F193" i="1"/>
  <c r="F192" i="1"/>
  <c r="F179" i="1"/>
  <c r="F167" i="1"/>
  <c r="F166" i="1"/>
  <c r="F154" i="1"/>
  <c r="F143" i="1"/>
  <c r="F142" i="1"/>
  <c r="F130" i="1"/>
  <c r="F129" i="1"/>
  <c r="F128" i="1"/>
  <c r="F127" i="1"/>
  <c r="F115" i="1"/>
  <c r="F114" i="1"/>
  <c r="F113" i="1"/>
  <c r="F112" i="1"/>
  <c r="F101" i="1"/>
  <c r="F100" i="1"/>
  <c r="F99" i="1"/>
  <c r="F98" i="1"/>
  <c r="F87" i="1"/>
  <c r="F86" i="1"/>
  <c r="F85" i="1"/>
  <c r="F84" i="1"/>
  <c r="B5" i="1"/>
  <c r="F37" i="1"/>
  <c r="F25" i="1"/>
  <c r="F38" i="1"/>
  <c r="F56" i="1"/>
  <c r="F54" i="1"/>
  <c r="F71" i="1"/>
  <c r="F23" i="1"/>
  <c r="F72" i="1"/>
  <c r="F55" i="1"/>
  <c r="F70" i="1"/>
  <c r="F24" i="1"/>
  <c r="F22" i="1"/>
  <c r="F52" i="1"/>
  <c r="F68" i="1"/>
  <c r="F26" i="1"/>
  <c r="F40" i="1"/>
  <c r="F39" i="1"/>
  <c r="F41" i="1"/>
  <c r="F53" i="1"/>
  <c r="F69" i="1"/>
  <c r="F131" i="1" l="1"/>
  <c r="F235" i="1"/>
  <c r="F949" i="1"/>
  <c r="F906" i="1"/>
  <c r="F425" i="1"/>
  <c r="F770" i="1"/>
  <c r="F806" i="1"/>
  <c r="F181" i="1"/>
  <c r="F921" i="1"/>
  <c r="F255" i="1"/>
  <c r="F331" i="1"/>
  <c r="F360" i="1"/>
  <c r="F608" i="1"/>
  <c r="F168" i="1"/>
  <c r="F676" i="1"/>
  <c r="F734" i="1"/>
  <c r="F195" i="1"/>
  <c r="F88" i="1"/>
  <c r="F144" i="1"/>
  <c r="F390" i="1"/>
  <c r="F594" i="1"/>
  <c r="F652" i="1"/>
  <c r="F693" i="1"/>
  <c r="F747" i="1"/>
  <c r="F795" i="1"/>
  <c r="F215" i="1"/>
  <c r="F275" i="1"/>
  <c r="F303" i="1"/>
  <c r="F462" i="1"/>
  <c r="F498" i="1"/>
  <c r="F534" i="1"/>
  <c r="F564" i="1"/>
  <c r="F882" i="1"/>
  <c r="F116" i="1"/>
  <c r="F102" i="1"/>
  <c r="F156" i="1"/>
  <c r="F664" i="1"/>
  <c r="F709" i="1"/>
  <c r="F722" i="1"/>
  <c r="F867" i="1"/>
  <c r="F933" i="1"/>
  <c r="F57" i="1"/>
  <c r="F27" i="1"/>
  <c r="F42" i="1"/>
  <c r="F73" i="1"/>
  <c r="B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3" authorId="0" shapeId="0" xr:uid="{D698BB82-225F-429A-8A48-09766CD6BAE7}">
      <text>
        <r>
          <rPr>
            <b/>
            <sz val="9"/>
            <rFont val="Tahoma"/>
            <family val="2"/>
          </rPr>
          <t>Introduzca el año del PACC</t>
        </r>
      </text>
    </comment>
    <comment ref="E14" authorId="0" shapeId="0" xr:uid="{3BFB61B3-3461-4957-BFFA-9B587053E221}">
      <text>
        <r>
          <rPr>
            <b/>
            <sz val="9"/>
            <rFont val="Tahoma"/>
            <family val="2"/>
          </rPr>
          <t>Introduzca la fecha de aprobación, en formato dd/mm/aaaa</t>
        </r>
      </text>
    </comment>
    <comment ref="F16" authorId="1" shapeId="0" xr:uid="{9D5D63E8-D1D6-4488-B350-248D90C844A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 authorId="1" shapeId="0" xr:uid="{A8DFFF99-6885-4898-B17D-B300223406EB}">
      <text/>
    </comment>
    <comment ref="F18" authorId="1" shapeId="0" xr:uid="{3BA9B417-8DFE-46EE-97B1-88B155794472}">
      <text/>
    </comment>
    <comment ref="F19" authorId="1" shapeId="0" xr:uid="{88841EFA-6EA0-4B48-9058-BBDC39B61FA9}">
      <text/>
    </comment>
    <comment ref="A21" authorId="1" shapeId="0" xr:uid="{C46D3C53-7F8B-42E0-A263-2B63C9209DFE}">
      <text>
        <r>
          <rPr>
            <sz val="11"/>
            <color theme="1"/>
            <rFont val="Calibri"/>
            <family val="2"/>
            <scheme val="minor"/>
          </rPr>
          <t>Introduzca un codigo UNSPSC</t>
        </r>
      </text>
    </comment>
    <comment ref="B21" authorId="1" shapeId="0" xr:uid="{3DA468B0-484B-4CFC-A7F6-4BE42557B738}">
      <text>
        <r>
          <rPr>
            <sz val="11"/>
            <color theme="1"/>
            <rFont val="Calibri"/>
            <family val="2"/>
            <scheme val="minor"/>
          </rPr>
          <t>Descripción calculada automáticamente a partir de código del artículo</t>
        </r>
      </text>
    </comment>
    <comment ref="D21" authorId="1" shapeId="0" xr:uid="{71CD00EB-3D1D-41B3-A714-55A838D4EA6D}">
      <text>
        <r>
          <rPr>
            <sz val="11"/>
            <color theme="1"/>
            <rFont val="Calibri"/>
            <family val="2"/>
            <scheme val="minor"/>
          </rPr>
          <t>Introduzca un número con dos decimales como máximo. Debe ser igual o mayor a la "Cantidad Real Consumida"</t>
        </r>
      </text>
    </comment>
    <comment ref="E21" authorId="1" shapeId="0" xr:uid="{EA67CD37-EDA4-451E-87B0-444CA3204B14}">
      <text>
        <r>
          <rPr>
            <sz val="11"/>
            <color theme="1"/>
            <rFont val="Calibri"/>
            <family val="2"/>
            <scheme val="minor"/>
          </rPr>
          <t>Introduzca un número con dos decimales como máximo</t>
        </r>
      </text>
    </comment>
    <comment ref="F21" authorId="1" shapeId="0" xr:uid="{03A9F652-63C6-46D6-8207-35BD14A7692C}">
      <text>
        <r>
          <rPr>
            <sz val="11"/>
            <color theme="1"/>
            <rFont val="Calibri"/>
            <family val="2"/>
            <scheme val="minor"/>
          </rPr>
          <t>Monto calculado automáticamente por el sistema</t>
        </r>
      </text>
    </comment>
    <comment ref="A30" authorId="1" shapeId="0" xr:uid="{0E2136A5-6A03-420A-B563-A72EA0ED3AF9}">
      <text>
        <r>
          <rPr>
            <sz val="11"/>
            <color theme="1"/>
            <rFont val="Calibri"/>
            <family val="2"/>
            <scheme val="minor"/>
          </rPr>
          <t>Introducir un texto con el nombre o referencia de la contratación</t>
        </r>
      </text>
    </comment>
    <comment ref="B30" authorId="1" shapeId="0" xr:uid="{261DC691-1CF8-47CF-8FB7-6277997DE785}">
      <text>
        <r>
          <rPr>
            <sz val="11"/>
            <color theme="1"/>
            <rFont val="Calibri"/>
            <family val="2"/>
            <scheme val="minor"/>
          </rPr>
          <t>Introduzca un texto con la finalidad de la contratación</t>
        </r>
      </text>
    </comment>
    <comment ref="D30" authorId="1" shapeId="0" xr:uid="{C15134F9-5808-46B5-8C61-935C1BAFE59F}">
      <text>
        <r>
          <rPr>
            <sz val="11"/>
            <color theme="1"/>
            <rFont val="Calibri"/>
            <family val="2"/>
            <scheme val="minor"/>
          </rPr>
          <t>Seleccione el tipo de procedimiento</t>
        </r>
      </text>
    </comment>
    <comment ref="E30" authorId="1" shapeId="0" xr:uid="{DBF780DA-2251-4DF0-8928-2AC78CF6EFA9}">
      <text>
        <r>
          <rPr>
            <sz val="11"/>
            <color theme="1"/>
            <rFont val="Calibri"/>
            <family val="2"/>
            <scheme val="minor"/>
          </rPr>
          <t>Seleccione un valor de la lista</t>
        </r>
      </text>
    </comment>
    <comment ref="F30" authorId="1" shapeId="0" xr:uid="{7C9D74CC-8854-4F5B-8CB9-489CB49E4D97}">
      <text>
        <r>
          <rPr>
            <sz val="11"/>
            <color theme="1"/>
            <rFont val="Calibri"/>
            <family val="2"/>
            <scheme val="minor"/>
          </rPr>
          <t>Introduzca el código SNIP</t>
        </r>
      </text>
    </comment>
    <comment ref="F31" authorId="1" shapeId="0" xr:uid="{BDE61915-915B-4C42-A5B1-EA8D46841AD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 authorId="1" shapeId="0" xr:uid="{DFCC9973-4A97-46BB-A415-EEA067FB96EA}">
      <text/>
    </comment>
    <comment ref="F33" authorId="1" shapeId="0" xr:uid="{B287905E-15C1-4325-922A-223B4E9FD2D8}">
      <text/>
    </comment>
    <comment ref="F34" authorId="1" shapeId="0" xr:uid="{910B93EA-251F-4138-B792-FB2BA1BE4F5F}">
      <text/>
    </comment>
    <comment ref="A36" authorId="1" shapeId="0" xr:uid="{A2513EC4-D59D-4A10-B808-1115CBE15C47}">
      <text>
        <r>
          <rPr>
            <sz val="11"/>
            <color theme="1"/>
            <rFont val="Calibri"/>
            <family val="2"/>
            <scheme val="minor"/>
          </rPr>
          <t>Introduzca un codigo UNSPSC</t>
        </r>
      </text>
    </comment>
    <comment ref="B36" authorId="1" shapeId="0" xr:uid="{539D26E9-847A-4F7C-9D44-03C8F5048CC7}">
      <text>
        <r>
          <rPr>
            <sz val="11"/>
            <color theme="1"/>
            <rFont val="Calibri"/>
            <family val="2"/>
            <scheme val="minor"/>
          </rPr>
          <t>Descripción calculada automáticamente a partir de código del artículo</t>
        </r>
      </text>
    </comment>
    <comment ref="D36" authorId="1" shapeId="0" xr:uid="{C0631907-C2D7-4D61-A434-8C00F326077F}">
      <text>
        <r>
          <rPr>
            <sz val="11"/>
            <color theme="1"/>
            <rFont val="Calibri"/>
            <family val="2"/>
            <scheme val="minor"/>
          </rPr>
          <t>Introduzca un número con dos decimales como máximo. Debe ser igual o mayor a la "Cantidad Real Consumida"</t>
        </r>
      </text>
    </comment>
    <comment ref="E36" authorId="1" shapeId="0" xr:uid="{1E152708-CBC4-41BD-AD18-F6B7900066D2}">
      <text>
        <r>
          <rPr>
            <sz val="11"/>
            <color theme="1"/>
            <rFont val="Calibri"/>
            <family val="2"/>
            <scheme val="minor"/>
          </rPr>
          <t>Introduzca un número con dos decimales como máximo</t>
        </r>
      </text>
    </comment>
    <comment ref="F36" authorId="1" shapeId="0" xr:uid="{9B5493F5-F4FC-4F9A-8865-79B1102162F1}">
      <text>
        <r>
          <rPr>
            <sz val="11"/>
            <color theme="1"/>
            <rFont val="Calibri"/>
            <family val="2"/>
            <scheme val="minor"/>
          </rPr>
          <t>Monto calculado automáticamente por el sistema</t>
        </r>
      </text>
    </comment>
    <comment ref="A45" authorId="1" shapeId="0" xr:uid="{E44121F3-8BAA-4A87-8A83-E4EBF9C1CC5D}">
      <text>
        <r>
          <rPr>
            <sz val="11"/>
            <color theme="1"/>
            <rFont val="Calibri"/>
            <family val="2"/>
            <scheme val="minor"/>
          </rPr>
          <t>Introducir un texto con el nombre o referencia de la contratación</t>
        </r>
      </text>
    </comment>
    <comment ref="B45" authorId="1" shapeId="0" xr:uid="{A524A38A-4DD0-4E97-904D-907127031439}">
      <text>
        <r>
          <rPr>
            <sz val="11"/>
            <color theme="1"/>
            <rFont val="Calibri"/>
            <family val="2"/>
            <scheme val="minor"/>
          </rPr>
          <t>Introduzca un texto con la finalidad de la contratación</t>
        </r>
      </text>
    </comment>
    <comment ref="D45" authorId="1" shapeId="0" xr:uid="{8F203943-D1EC-41EC-A990-2F50B8173CE5}">
      <text>
        <r>
          <rPr>
            <sz val="11"/>
            <color theme="1"/>
            <rFont val="Calibri"/>
            <family val="2"/>
            <scheme val="minor"/>
          </rPr>
          <t>Seleccione el tipo de procedimiento</t>
        </r>
      </text>
    </comment>
    <comment ref="E45" authorId="1" shapeId="0" xr:uid="{C85BF2ED-923B-4C25-9362-D8193E3FF290}">
      <text>
        <r>
          <rPr>
            <sz val="11"/>
            <color theme="1"/>
            <rFont val="Calibri"/>
            <family val="2"/>
            <scheme val="minor"/>
          </rPr>
          <t>Seleccione un valor de la lista</t>
        </r>
      </text>
    </comment>
    <comment ref="F45" authorId="1" shapeId="0" xr:uid="{8A8614CF-3600-456D-A162-51612EB53633}">
      <text>
        <r>
          <rPr>
            <sz val="11"/>
            <color theme="1"/>
            <rFont val="Calibri"/>
            <family val="2"/>
            <scheme val="minor"/>
          </rPr>
          <t>Introduzca el código SNIP</t>
        </r>
      </text>
    </comment>
    <comment ref="F46" authorId="1" shapeId="0" xr:uid="{E61D6A3D-B16B-496D-96BF-B7DE553CAAC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 authorId="1" shapeId="0" xr:uid="{643F5C6D-5B58-40AF-B595-B8B9E7957AAB}">
      <text/>
    </comment>
    <comment ref="F48" authorId="1" shapeId="0" xr:uid="{63D8980C-D4EE-4327-AFCF-104469CD7DE4}">
      <text/>
    </comment>
    <comment ref="F49" authorId="1" shapeId="0" xr:uid="{60794485-D5ED-408A-88C9-18291FA5EB49}">
      <text/>
    </comment>
    <comment ref="A51" authorId="1" shapeId="0" xr:uid="{77E6EC85-3222-4F61-AEA4-E1AC4D0F03BE}">
      <text>
        <r>
          <rPr>
            <sz val="11"/>
            <color theme="1"/>
            <rFont val="Calibri"/>
            <family val="2"/>
            <scheme val="minor"/>
          </rPr>
          <t>Introduzca un codigo UNSPSC</t>
        </r>
      </text>
    </comment>
    <comment ref="B51" authorId="1" shapeId="0" xr:uid="{BC9E2722-A40A-4620-B8BF-19478839690A}">
      <text>
        <r>
          <rPr>
            <sz val="11"/>
            <color theme="1"/>
            <rFont val="Calibri"/>
            <family val="2"/>
            <scheme val="minor"/>
          </rPr>
          <t>Descripción calculada automáticamente a partir de código del artículo</t>
        </r>
      </text>
    </comment>
    <comment ref="D51" authorId="1" shapeId="0" xr:uid="{DB54AECD-F517-4B9D-987C-1475BC83D844}">
      <text>
        <r>
          <rPr>
            <sz val="11"/>
            <color theme="1"/>
            <rFont val="Calibri"/>
            <family val="2"/>
            <scheme val="minor"/>
          </rPr>
          <t>Introduzca un número con dos decimales como máximo. Debe ser igual o mayor a la "Cantidad Real Consumida"</t>
        </r>
      </text>
    </comment>
    <comment ref="E51" authorId="1" shapeId="0" xr:uid="{189108C3-C4B1-4086-BDD0-9FF3935D1ACD}">
      <text>
        <r>
          <rPr>
            <sz val="11"/>
            <color theme="1"/>
            <rFont val="Calibri"/>
            <family val="2"/>
            <scheme val="minor"/>
          </rPr>
          <t>Introduzca un número con dos decimales como máximo</t>
        </r>
      </text>
    </comment>
    <comment ref="F51" authorId="1" shapeId="0" xr:uid="{D6F5E98C-0C57-4467-B8C1-97081584285C}">
      <text>
        <r>
          <rPr>
            <sz val="11"/>
            <color theme="1"/>
            <rFont val="Calibri"/>
            <family val="2"/>
            <scheme val="minor"/>
          </rPr>
          <t>Monto calculado automáticamente por el sistema</t>
        </r>
      </text>
    </comment>
    <comment ref="A61" authorId="1" shapeId="0" xr:uid="{CC62F22D-0B46-4008-9C01-A1D9CF7B0B08}">
      <text>
        <r>
          <rPr>
            <sz val="11"/>
            <color theme="1"/>
            <rFont val="Calibri"/>
            <family val="2"/>
            <scheme val="minor"/>
          </rPr>
          <t>Introducir un texto con el nombre o referencia de la contratación</t>
        </r>
      </text>
    </comment>
    <comment ref="B61" authorId="1" shapeId="0" xr:uid="{E8DE46E0-B355-4888-9DE1-33BFB230BD6D}">
      <text>
        <r>
          <rPr>
            <sz val="11"/>
            <color theme="1"/>
            <rFont val="Calibri"/>
            <family val="2"/>
            <scheme val="minor"/>
          </rPr>
          <t>Introduzca un texto con la finalidad de la contratación</t>
        </r>
      </text>
    </comment>
    <comment ref="D61" authorId="1" shapeId="0" xr:uid="{4B1F23FD-CCFD-4103-9B06-F5F936E3CD9E}">
      <text>
        <r>
          <rPr>
            <sz val="11"/>
            <color theme="1"/>
            <rFont val="Calibri"/>
            <family val="2"/>
            <scheme val="minor"/>
          </rPr>
          <t>Seleccione el tipo de procedimiento</t>
        </r>
      </text>
    </comment>
    <comment ref="E61" authorId="1" shapeId="0" xr:uid="{B43D1ED8-91FC-4F2D-A9E5-24B46156D971}">
      <text>
        <r>
          <rPr>
            <sz val="11"/>
            <color theme="1"/>
            <rFont val="Calibri"/>
            <family val="2"/>
            <scheme val="minor"/>
          </rPr>
          <t>Seleccione un valor de la lista</t>
        </r>
      </text>
    </comment>
    <comment ref="F61" authorId="1" shapeId="0" xr:uid="{07A219C4-9E18-4FE9-814F-97936F24C6CC}">
      <text>
        <r>
          <rPr>
            <sz val="11"/>
            <color theme="1"/>
            <rFont val="Calibri"/>
            <family val="2"/>
            <scheme val="minor"/>
          </rPr>
          <t>Introduzca el código SNIP</t>
        </r>
      </text>
    </comment>
    <comment ref="F62" authorId="1" shapeId="0" xr:uid="{242E9C6F-C5B2-49C8-B759-989813D63C6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 authorId="1" shapeId="0" xr:uid="{E4B6893C-45DC-4E14-8FAF-C5A9CE9FF6FA}">
      <text/>
    </comment>
    <comment ref="F64" authorId="1" shapeId="0" xr:uid="{1EB12F29-2C36-4422-B682-8B0003829383}">
      <text/>
    </comment>
    <comment ref="F65" authorId="1" shapeId="0" xr:uid="{09D6FAA9-1ACB-4271-86AD-F318821562CA}">
      <text/>
    </comment>
    <comment ref="A67" authorId="1" shapeId="0" xr:uid="{7707D3A9-9FCF-4542-9299-8C956CA2D525}">
      <text>
        <r>
          <rPr>
            <sz val="11"/>
            <color theme="1"/>
            <rFont val="Calibri"/>
            <family val="2"/>
            <scheme val="minor"/>
          </rPr>
          <t>Introduzca un codigo UNSPSC</t>
        </r>
      </text>
    </comment>
    <comment ref="B67" authorId="1" shapeId="0" xr:uid="{53E45837-B73B-4AEF-8EA6-C652B6A7D48A}">
      <text>
        <r>
          <rPr>
            <sz val="11"/>
            <color theme="1"/>
            <rFont val="Calibri"/>
            <family val="2"/>
            <scheme val="minor"/>
          </rPr>
          <t>Descripción calculada automáticamente a partir de código del artículo</t>
        </r>
      </text>
    </comment>
    <comment ref="D67" authorId="1" shapeId="0" xr:uid="{46B4B933-5DCD-4DB7-A368-84229224DC48}">
      <text>
        <r>
          <rPr>
            <sz val="11"/>
            <color theme="1"/>
            <rFont val="Calibri"/>
            <family val="2"/>
            <scheme val="minor"/>
          </rPr>
          <t>Introduzca un número con dos decimales como máximo. Debe ser igual o mayor a la "Cantidad Real Consumida"</t>
        </r>
      </text>
    </comment>
    <comment ref="E67" authorId="1" shapeId="0" xr:uid="{317BE279-7BE7-421B-9461-63E03E47993A}">
      <text>
        <r>
          <rPr>
            <sz val="11"/>
            <color theme="1"/>
            <rFont val="Calibri"/>
            <family val="2"/>
            <scheme val="minor"/>
          </rPr>
          <t>Introduzca un número con dos decimales como máximo</t>
        </r>
      </text>
    </comment>
    <comment ref="F67" authorId="1" shapeId="0" xr:uid="{30052D44-53B8-4EAC-9BA2-EFA85EBBAAA7}">
      <text>
        <r>
          <rPr>
            <sz val="11"/>
            <color theme="1"/>
            <rFont val="Calibri"/>
            <family val="2"/>
            <scheme val="minor"/>
          </rPr>
          <t>Monto calculado automáticamente por el sistema</t>
        </r>
      </text>
    </comment>
    <comment ref="A77" authorId="1" shapeId="0" xr:uid="{649C0AC2-8208-41F5-8CCF-096C21A3054B}">
      <text>
        <r>
          <rPr>
            <sz val="11"/>
            <color theme="1"/>
            <rFont val="Calibri"/>
            <family val="2"/>
            <scheme val="minor"/>
          </rPr>
          <t>Introducir un texto con el nombre o referencia de la contratación</t>
        </r>
      </text>
    </comment>
    <comment ref="B77" authorId="1" shapeId="0" xr:uid="{CBBC0C0E-79D8-41D9-BDBC-B1DCEFB6EC1A}">
      <text>
        <r>
          <rPr>
            <sz val="11"/>
            <color theme="1"/>
            <rFont val="Calibri"/>
            <family val="2"/>
            <scheme val="minor"/>
          </rPr>
          <t>Introduzca un texto con la finalidad de la contratación</t>
        </r>
      </text>
    </comment>
    <comment ref="D77" authorId="1" shapeId="0" xr:uid="{A0A009CC-5868-4410-8D27-88D150682186}">
      <text>
        <r>
          <rPr>
            <sz val="11"/>
            <color theme="1"/>
            <rFont val="Calibri"/>
            <family val="2"/>
            <scheme val="minor"/>
          </rPr>
          <t>Seleccione el tipo de procedimiento</t>
        </r>
      </text>
    </comment>
    <comment ref="E77" authorId="1" shapeId="0" xr:uid="{F6C05059-F06A-4EDE-AB3A-4D1D14982D1E}">
      <text>
        <r>
          <rPr>
            <sz val="11"/>
            <color theme="1"/>
            <rFont val="Calibri"/>
            <family val="2"/>
            <scheme val="minor"/>
          </rPr>
          <t>Seleccione un valor de la lista</t>
        </r>
      </text>
    </comment>
    <comment ref="F77" authorId="1" shapeId="0" xr:uid="{AB8CC066-A9C4-4018-88E7-545E4A4EF235}">
      <text>
        <r>
          <rPr>
            <sz val="11"/>
            <color theme="1"/>
            <rFont val="Calibri"/>
            <family val="2"/>
            <scheme val="minor"/>
          </rPr>
          <t>Introduzca el código SNIP</t>
        </r>
      </text>
    </comment>
    <comment ref="F78" authorId="1" shapeId="0" xr:uid="{22652EAA-A81F-4842-A9C4-3DF51693B6F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 authorId="1" shapeId="0" xr:uid="{E98DD489-9700-46DB-8E45-CC2ABA0FC8AD}">
      <text/>
    </comment>
    <comment ref="F80" authorId="1" shapeId="0" xr:uid="{21F0403E-1811-437D-89FE-D1C3887B92F1}">
      <text/>
    </comment>
    <comment ref="F81" authorId="1" shapeId="0" xr:uid="{5E635AC5-92AE-4364-A1A9-26931E014162}">
      <text/>
    </comment>
    <comment ref="A83" authorId="1" shapeId="0" xr:uid="{F0D0BFD8-63BB-4C88-8A1B-E835EA2F80E9}">
      <text>
        <r>
          <rPr>
            <sz val="11"/>
            <color theme="1"/>
            <rFont val="Calibri"/>
            <family val="2"/>
            <scheme val="minor"/>
          </rPr>
          <t>Introduzca un codigo UNSPSC</t>
        </r>
      </text>
    </comment>
    <comment ref="B83" authorId="1" shapeId="0" xr:uid="{4F13F35E-CAD7-40E7-93A0-6393947B422F}">
      <text>
        <r>
          <rPr>
            <sz val="11"/>
            <color theme="1"/>
            <rFont val="Calibri"/>
            <family val="2"/>
            <scheme val="minor"/>
          </rPr>
          <t>Descripción calculada automáticamente a partir de código del artículo</t>
        </r>
      </text>
    </comment>
    <comment ref="D83" authorId="1" shapeId="0" xr:uid="{5E9BDA73-152B-4FE2-9778-DAD7F619A3D4}">
      <text>
        <r>
          <rPr>
            <sz val="11"/>
            <color theme="1"/>
            <rFont val="Calibri"/>
            <family val="2"/>
            <scheme val="minor"/>
          </rPr>
          <t>Introduzca un número con dos decimales como máximo. Debe ser igual o mayor a la "Cantidad Real Consumida"</t>
        </r>
      </text>
    </comment>
    <comment ref="E83" authorId="1" shapeId="0" xr:uid="{F8DFA2C4-0396-4E0B-B926-BDAB807C8638}">
      <text>
        <r>
          <rPr>
            <sz val="11"/>
            <color theme="1"/>
            <rFont val="Calibri"/>
            <family val="2"/>
            <scheme val="minor"/>
          </rPr>
          <t>Introduzca un número con dos decimales como máximo</t>
        </r>
      </text>
    </comment>
    <comment ref="F83" authorId="1" shapeId="0" xr:uid="{D23016E4-7DB5-4434-815E-27FBB41C46ED}">
      <text>
        <r>
          <rPr>
            <sz val="11"/>
            <color theme="1"/>
            <rFont val="Calibri"/>
            <family val="2"/>
            <scheme val="minor"/>
          </rPr>
          <t>Monto calculado automáticamente por el sistema</t>
        </r>
      </text>
    </comment>
    <comment ref="A91" authorId="1" shapeId="0" xr:uid="{D55809CA-09F7-4C51-8C95-521F766D7D98}">
      <text>
        <r>
          <rPr>
            <sz val="11"/>
            <color theme="1"/>
            <rFont val="Calibri"/>
            <family val="2"/>
            <scheme val="minor"/>
          </rPr>
          <t>Introducir un texto con el nombre o referencia de la contratación</t>
        </r>
      </text>
    </comment>
    <comment ref="B91" authorId="1" shapeId="0" xr:uid="{2A712C38-1367-4783-BD3D-44D215BA2884}">
      <text>
        <r>
          <rPr>
            <sz val="11"/>
            <color theme="1"/>
            <rFont val="Calibri"/>
            <family val="2"/>
            <scheme val="minor"/>
          </rPr>
          <t>Introduzca un texto con la finalidad de la contratación</t>
        </r>
      </text>
    </comment>
    <comment ref="D91" authorId="1" shapeId="0" xr:uid="{4482F13E-4035-4401-B9F3-A6B736865CE2}">
      <text>
        <r>
          <rPr>
            <sz val="11"/>
            <color theme="1"/>
            <rFont val="Calibri"/>
            <family val="2"/>
            <scheme val="minor"/>
          </rPr>
          <t>Seleccione el tipo de procedimiento</t>
        </r>
      </text>
    </comment>
    <comment ref="E91" authorId="1" shapeId="0" xr:uid="{050CF1F2-05F1-4525-9FAC-E1FE6AD8CE30}">
      <text>
        <r>
          <rPr>
            <sz val="11"/>
            <color theme="1"/>
            <rFont val="Calibri"/>
            <family val="2"/>
            <scheme val="minor"/>
          </rPr>
          <t>Seleccione un valor de la lista</t>
        </r>
      </text>
    </comment>
    <comment ref="F91" authorId="1" shapeId="0" xr:uid="{86984615-CFB5-45E1-AFD5-15156761935D}">
      <text>
        <r>
          <rPr>
            <sz val="11"/>
            <color theme="1"/>
            <rFont val="Calibri"/>
            <family val="2"/>
            <scheme val="minor"/>
          </rPr>
          <t>Introduzca el código SNIP</t>
        </r>
      </text>
    </comment>
    <comment ref="F92" authorId="1" shapeId="0" xr:uid="{059E19BF-4D84-4FA5-896D-DC1FE37A4F5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 authorId="1" shapeId="0" xr:uid="{B6B0C31F-BACB-457B-AC7E-1E43E81F9563}">
      <text/>
    </comment>
    <comment ref="F94" authorId="1" shapeId="0" xr:uid="{D68B9C9A-631E-4D6A-B583-F0DA3A10B232}">
      <text/>
    </comment>
    <comment ref="F95" authorId="1" shapeId="0" xr:uid="{DDEC9D10-9FE7-406F-BF6C-4387A53911DD}">
      <text/>
    </comment>
    <comment ref="A97" authorId="1" shapeId="0" xr:uid="{66E82BD5-CA0C-4D56-A53E-C7BFB649FD2D}">
      <text>
        <r>
          <rPr>
            <sz val="11"/>
            <color theme="1"/>
            <rFont val="Calibri"/>
            <family val="2"/>
            <scheme val="minor"/>
          </rPr>
          <t>Introduzca un codigo UNSPSC</t>
        </r>
      </text>
    </comment>
    <comment ref="B97" authorId="1" shapeId="0" xr:uid="{579B6D97-E925-4E11-90A2-0D7B270E927E}">
      <text>
        <r>
          <rPr>
            <sz val="11"/>
            <color theme="1"/>
            <rFont val="Calibri"/>
            <family val="2"/>
            <scheme val="minor"/>
          </rPr>
          <t>Descripción calculada automáticamente a partir de código del artículo</t>
        </r>
      </text>
    </comment>
    <comment ref="D97" authorId="1" shapeId="0" xr:uid="{6880572D-8E51-4028-B0BB-A317F5CCF51E}">
      <text>
        <r>
          <rPr>
            <sz val="11"/>
            <color theme="1"/>
            <rFont val="Calibri"/>
            <family val="2"/>
            <scheme val="minor"/>
          </rPr>
          <t>Introduzca un número con dos decimales como máximo. Debe ser igual o mayor a la "Cantidad Real Consumida"</t>
        </r>
      </text>
    </comment>
    <comment ref="E97" authorId="1" shapeId="0" xr:uid="{8FA19C80-CE02-4372-B34A-5CDA94F21A63}">
      <text>
        <r>
          <rPr>
            <sz val="11"/>
            <color theme="1"/>
            <rFont val="Calibri"/>
            <family val="2"/>
            <scheme val="minor"/>
          </rPr>
          <t>Introduzca un número con dos decimales como máximo</t>
        </r>
      </text>
    </comment>
    <comment ref="F97" authorId="1" shapeId="0" xr:uid="{6E50EC66-0838-4F08-85E5-A0C033E03354}">
      <text>
        <r>
          <rPr>
            <sz val="11"/>
            <color theme="1"/>
            <rFont val="Calibri"/>
            <family val="2"/>
            <scheme val="minor"/>
          </rPr>
          <t>Monto calculado automáticamente por el sistema</t>
        </r>
      </text>
    </comment>
    <comment ref="A105" authorId="1" shapeId="0" xr:uid="{C5CD8035-7F5A-4091-9E96-2B85E3572739}">
      <text>
        <r>
          <rPr>
            <sz val="11"/>
            <color theme="1"/>
            <rFont val="Calibri"/>
            <family val="2"/>
            <scheme val="minor"/>
          </rPr>
          <t>Introducir un texto con el nombre o referencia de la contratación</t>
        </r>
      </text>
    </comment>
    <comment ref="B105" authorId="1" shapeId="0" xr:uid="{854B5D39-9DD4-4862-A15E-F0ABC25A7E74}">
      <text>
        <r>
          <rPr>
            <sz val="11"/>
            <color theme="1"/>
            <rFont val="Calibri"/>
            <family val="2"/>
            <scheme val="minor"/>
          </rPr>
          <t>Introduzca un texto con la finalidad de la contratación</t>
        </r>
      </text>
    </comment>
    <comment ref="D105" authorId="1" shapeId="0" xr:uid="{B93291D3-BA93-4515-A7B4-9B5ED72BA0C4}">
      <text>
        <r>
          <rPr>
            <sz val="11"/>
            <color theme="1"/>
            <rFont val="Calibri"/>
            <family val="2"/>
            <scheme val="minor"/>
          </rPr>
          <t>Seleccione el tipo de procedimiento</t>
        </r>
      </text>
    </comment>
    <comment ref="E105" authorId="1" shapeId="0" xr:uid="{17597415-B4AA-433F-8C2A-DA95D0F8D693}">
      <text>
        <r>
          <rPr>
            <sz val="11"/>
            <color theme="1"/>
            <rFont val="Calibri"/>
            <family val="2"/>
            <scheme val="minor"/>
          </rPr>
          <t>Seleccione un valor de la lista</t>
        </r>
      </text>
    </comment>
    <comment ref="F105" authorId="1" shapeId="0" xr:uid="{1BC70CAD-0F45-4298-886F-58FFAF429F70}">
      <text>
        <r>
          <rPr>
            <sz val="11"/>
            <color theme="1"/>
            <rFont val="Calibri"/>
            <family val="2"/>
            <scheme val="minor"/>
          </rPr>
          <t>Introduzca el código SNIP</t>
        </r>
      </text>
    </comment>
    <comment ref="F106" authorId="1" shapeId="0" xr:uid="{13644CD6-3F82-4C7A-860A-77214BEE19F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 authorId="1" shapeId="0" xr:uid="{2C23BAD1-7D9F-49FA-8A2B-CD0D4C56FF9A}">
      <text/>
    </comment>
    <comment ref="F108" authorId="1" shapeId="0" xr:uid="{7E70C24C-6175-4B7F-88FA-A73E3726DA33}">
      <text/>
    </comment>
    <comment ref="F109" authorId="1" shapeId="0" xr:uid="{BE0651DF-EF19-4967-9266-85E873E7C1C7}">
      <text/>
    </comment>
    <comment ref="A111" authorId="1" shapeId="0" xr:uid="{96E3F03C-E6D8-4B5F-8860-9E47D29370FF}">
      <text>
        <r>
          <rPr>
            <sz val="11"/>
            <color theme="1"/>
            <rFont val="Calibri"/>
            <family val="2"/>
            <scheme val="minor"/>
          </rPr>
          <t>Introduzca un codigo UNSPSC</t>
        </r>
      </text>
    </comment>
    <comment ref="B111" authorId="1" shapeId="0" xr:uid="{D941F609-6508-4008-BBE0-0C1914DB99C1}">
      <text>
        <r>
          <rPr>
            <sz val="11"/>
            <color theme="1"/>
            <rFont val="Calibri"/>
            <family val="2"/>
            <scheme val="minor"/>
          </rPr>
          <t>Descripción calculada automáticamente a partir de código del artículo</t>
        </r>
      </text>
    </comment>
    <comment ref="D111" authorId="1" shapeId="0" xr:uid="{B59DBF82-5D66-4DE0-A784-EB0C534EC6B6}">
      <text>
        <r>
          <rPr>
            <sz val="11"/>
            <color theme="1"/>
            <rFont val="Calibri"/>
            <family val="2"/>
            <scheme val="minor"/>
          </rPr>
          <t>Introduzca un número con dos decimales como máximo. Debe ser igual o mayor a la "Cantidad Real Consumida"</t>
        </r>
      </text>
    </comment>
    <comment ref="E111" authorId="1" shapeId="0" xr:uid="{FC590A57-42A1-4D38-9B8A-5E9E31B967DE}">
      <text>
        <r>
          <rPr>
            <sz val="11"/>
            <color theme="1"/>
            <rFont val="Calibri"/>
            <family val="2"/>
            <scheme val="minor"/>
          </rPr>
          <t>Introduzca un número con dos decimales como máximo</t>
        </r>
      </text>
    </comment>
    <comment ref="F111" authorId="1" shapeId="0" xr:uid="{6D23E7DB-98C5-44C1-9D8F-702D8185CBDE}">
      <text>
        <r>
          <rPr>
            <sz val="11"/>
            <color theme="1"/>
            <rFont val="Calibri"/>
            <family val="2"/>
            <scheme val="minor"/>
          </rPr>
          <t>Monto calculado automáticamente por el sistema</t>
        </r>
      </text>
    </comment>
    <comment ref="A120" authorId="1" shapeId="0" xr:uid="{178698C6-62B6-40A6-ABB7-C7B8D360549D}">
      <text>
        <r>
          <rPr>
            <sz val="11"/>
            <color theme="1"/>
            <rFont val="Calibri"/>
            <family val="2"/>
            <scheme val="minor"/>
          </rPr>
          <t>Introducir un texto con el nombre o referencia de la contratación</t>
        </r>
      </text>
    </comment>
    <comment ref="B120" authorId="1" shapeId="0" xr:uid="{7AAABDB8-17C3-41A9-9D66-CEBFF226A725}">
      <text>
        <r>
          <rPr>
            <sz val="11"/>
            <color theme="1"/>
            <rFont val="Calibri"/>
            <family val="2"/>
            <scheme val="minor"/>
          </rPr>
          <t>Introduzca un texto con la finalidad de la contratación</t>
        </r>
      </text>
    </comment>
    <comment ref="D120" authorId="1" shapeId="0" xr:uid="{AB3826AB-9BE8-45C3-A019-EE307FD2B5BC}">
      <text>
        <r>
          <rPr>
            <sz val="11"/>
            <color theme="1"/>
            <rFont val="Calibri"/>
            <family val="2"/>
            <scheme val="minor"/>
          </rPr>
          <t>Seleccione el tipo de procedimiento</t>
        </r>
      </text>
    </comment>
    <comment ref="E120" authorId="1" shapeId="0" xr:uid="{5E5BF16D-C5EA-40DB-8BC1-866E4044D334}">
      <text>
        <r>
          <rPr>
            <sz val="11"/>
            <color theme="1"/>
            <rFont val="Calibri"/>
            <family val="2"/>
            <scheme val="minor"/>
          </rPr>
          <t>Seleccione un valor de la lista</t>
        </r>
      </text>
    </comment>
    <comment ref="F120" authorId="1" shapeId="0" xr:uid="{B099087F-6E95-41CE-B21F-EB86D61A7156}">
      <text>
        <r>
          <rPr>
            <sz val="11"/>
            <color theme="1"/>
            <rFont val="Calibri"/>
            <family val="2"/>
            <scheme val="minor"/>
          </rPr>
          <t>Introduzca el código SNIP</t>
        </r>
      </text>
    </comment>
    <comment ref="F121" authorId="1" shapeId="0" xr:uid="{B62DD9D5-F65D-497E-8620-2C2017B83BC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2" authorId="1" shapeId="0" xr:uid="{76F4CFB2-AD93-4090-B344-4AECE7BF3C04}">
      <text/>
    </comment>
    <comment ref="F123" authorId="1" shapeId="0" xr:uid="{95F2C624-B6F4-4C50-B2C2-363331954BDD}">
      <text/>
    </comment>
    <comment ref="F124" authorId="1" shapeId="0" xr:uid="{B584FA79-C141-4F1A-B6F2-397E1245B5F0}">
      <text/>
    </comment>
    <comment ref="A126" authorId="1" shapeId="0" xr:uid="{A4FDEA5D-E693-4B4A-BF23-6AC83FD22E7A}">
      <text>
        <r>
          <rPr>
            <sz val="11"/>
            <color theme="1"/>
            <rFont val="Calibri"/>
            <family val="2"/>
            <scheme val="minor"/>
          </rPr>
          <t>Introduzca un codigo UNSPSC</t>
        </r>
      </text>
    </comment>
    <comment ref="B126" authorId="1" shapeId="0" xr:uid="{F77844C4-546C-46A3-8DDC-2CE4452C0B81}">
      <text>
        <r>
          <rPr>
            <sz val="11"/>
            <color theme="1"/>
            <rFont val="Calibri"/>
            <family val="2"/>
            <scheme val="minor"/>
          </rPr>
          <t>Descripción calculada automáticamente a partir de código del artículo</t>
        </r>
      </text>
    </comment>
    <comment ref="D126" authorId="1" shapeId="0" xr:uid="{7BAB4EB9-6029-4608-9807-2EC97A305FDC}">
      <text>
        <r>
          <rPr>
            <sz val="11"/>
            <color theme="1"/>
            <rFont val="Calibri"/>
            <family val="2"/>
            <scheme val="minor"/>
          </rPr>
          <t>Introduzca un número con dos decimales como máximo. Debe ser igual o mayor a la "Cantidad Real Consumida"</t>
        </r>
      </text>
    </comment>
    <comment ref="E126" authorId="1" shapeId="0" xr:uid="{D4E156F1-2605-411B-A237-54A0593B5A8B}">
      <text>
        <r>
          <rPr>
            <sz val="11"/>
            <color theme="1"/>
            <rFont val="Calibri"/>
            <family val="2"/>
            <scheme val="minor"/>
          </rPr>
          <t>Introduzca un número con dos decimales como máximo</t>
        </r>
      </text>
    </comment>
    <comment ref="F126" authorId="1" shapeId="0" xr:uid="{C4CD6E0B-3948-4915-BB9E-96DCBCD67B17}">
      <text>
        <r>
          <rPr>
            <sz val="11"/>
            <color theme="1"/>
            <rFont val="Calibri"/>
            <family val="2"/>
            <scheme val="minor"/>
          </rPr>
          <t>Monto calculado automáticamente por el sistema</t>
        </r>
      </text>
    </comment>
    <comment ref="A135" authorId="1" shapeId="0" xr:uid="{B71EF95D-4560-4AE4-96B3-D187D7F4752B}">
      <text>
        <r>
          <rPr>
            <sz val="11"/>
            <color theme="1"/>
            <rFont val="Calibri"/>
            <family val="2"/>
            <scheme val="minor"/>
          </rPr>
          <t>Introducir un texto con el nombre o referencia de la contratación</t>
        </r>
      </text>
    </comment>
    <comment ref="B135" authorId="1" shapeId="0" xr:uid="{AFE2D630-4561-4627-AFEC-3C2F43A380BB}">
      <text>
        <r>
          <rPr>
            <sz val="11"/>
            <color theme="1"/>
            <rFont val="Calibri"/>
            <family val="2"/>
            <scheme val="minor"/>
          </rPr>
          <t>Introduzca un texto con la finalidad de la contratación</t>
        </r>
      </text>
    </comment>
    <comment ref="D135" authorId="1" shapeId="0" xr:uid="{83EBC152-19CC-44E0-A85B-BCF4A13457EB}">
      <text>
        <r>
          <rPr>
            <sz val="11"/>
            <color theme="1"/>
            <rFont val="Calibri"/>
            <family val="2"/>
            <scheme val="minor"/>
          </rPr>
          <t>Seleccione el tipo de procedimiento</t>
        </r>
      </text>
    </comment>
    <comment ref="E135" authorId="1" shapeId="0" xr:uid="{340C21F6-277D-4997-AB70-8D57A8D85522}">
      <text>
        <r>
          <rPr>
            <sz val="11"/>
            <color theme="1"/>
            <rFont val="Calibri"/>
            <family val="2"/>
            <scheme val="minor"/>
          </rPr>
          <t>Seleccione un valor de la lista</t>
        </r>
      </text>
    </comment>
    <comment ref="F135" authorId="1" shapeId="0" xr:uid="{0ADC7A6B-0B8C-486D-95F6-E24837EFC14B}">
      <text>
        <r>
          <rPr>
            <sz val="11"/>
            <color theme="1"/>
            <rFont val="Calibri"/>
            <family val="2"/>
            <scheme val="minor"/>
          </rPr>
          <t>Introduzca el código SNIP</t>
        </r>
      </text>
    </comment>
    <comment ref="F136" authorId="1" shapeId="0" xr:uid="{F181159F-98C6-4BFD-9DCE-5F131846DEE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7" authorId="1" shapeId="0" xr:uid="{9985191D-B2E3-4A9F-8ECB-6A4FCB901905}">
      <text/>
    </comment>
    <comment ref="F138" authorId="1" shapeId="0" xr:uid="{E6256F6F-7ACA-426E-8B92-3DE143B41272}">
      <text/>
    </comment>
    <comment ref="F139" authorId="1" shapeId="0" xr:uid="{29DDA37D-1475-49D3-9640-EB19A12CCC0B}">
      <text/>
    </comment>
    <comment ref="A141" authorId="1" shapeId="0" xr:uid="{87DDB064-6203-4A18-9323-924D4108B827}">
      <text>
        <r>
          <rPr>
            <sz val="11"/>
            <color theme="1"/>
            <rFont val="Calibri"/>
            <family val="2"/>
            <scheme val="minor"/>
          </rPr>
          <t>Introduzca un codigo UNSPSC</t>
        </r>
      </text>
    </comment>
    <comment ref="B141" authorId="1" shapeId="0" xr:uid="{5F7EDA17-C853-4E7E-A654-BD72A3CCB7E5}">
      <text>
        <r>
          <rPr>
            <sz val="11"/>
            <color theme="1"/>
            <rFont val="Calibri"/>
            <family val="2"/>
            <scheme val="minor"/>
          </rPr>
          <t>Descripción calculada automáticamente a partir de código del artículo</t>
        </r>
      </text>
    </comment>
    <comment ref="D141" authorId="1" shapeId="0" xr:uid="{BEEF57B7-A1FD-4988-B88D-288EC81B128A}">
      <text>
        <r>
          <rPr>
            <sz val="11"/>
            <color theme="1"/>
            <rFont val="Calibri"/>
            <family val="2"/>
            <scheme val="minor"/>
          </rPr>
          <t>Introduzca un número con dos decimales como máximo. Debe ser igual o mayor a la "Cantidad Real Consumida"</t>
        </r>
      </text>
    </comment>
    <comment ref="E141" authorId="1" shapeId="0" xr:uid="{3AF4EF84-465A-48AE-8E7B-01DB492A13A5}">
      <text>
        <r>
          <rPr>
            <sz val="11"/>
            <color theme="1"/>
            <rFont val="Calibri"/>
            <family val="2"/>
            <scheme val="minor"/>
          </rPr>
          <t>Introduzca un número con dos decimales como máximo</t>
        </r>
      </text>
    </comment>
    <comment ref="F141" authorId="1" shapeId="0" xr:uid="{9DA08482-2764-4F5F-8353-0FCEA00F08F0}">
      <text>
        <r>
          <rPr>
            <sz val="11"/>
            <color theme="1"/>
            <rFont val="Calibri"/>
            <family val="2"/>
            <scheme val="minor"/>
          </rPr>
          <t>Monto calculado automáticamente por el sistema</t>
        </r>
      </text>
    </comment>
    <comment ref="A147" authorId="1" shapeId="0" xr:uid="{7F7C965B-78CD-4FE3-A7EA-F47985F4B482}">
      <text>
        <r>
          <rPr>
            <sz val="11"/>
            <color theme="1"/>
            <rFont val="Calibri"/>
            <family val="2"/>
            <scheme val="minor"/>
          </rPr>
          <t>Introducir un texto con el nombre o referencia de la contratación</t>
        </r>
      </text>
    </comment>
    <comment ref="B147" authorId="1" shapeId="0" xr:uid="{E19DCF3D-CAFD-4A94-B453-9DE2E4451286}">
      <text>
        <r>
          <rPr>
            <sz val="11"/>
            <color theme="1"/>
            <rFont val="Calibri"/>
            <family val="2"/>
            <scheme val="minor"/>
          </rPr>
          <t>Introduzca un texto con la finalidad de la contratación</t>
        </r>
      </text>
    </comment>
    <comment ref="D147" authorId="1" shapeId="0" xr:uid="{96EE1888-68C6-47BB-AF01-0F6D566C3BBD}">
      <text>
        <r>
          <rPr>
            <sz val="11"/>
            <color theme="1"/>
            <rFont val="Calibri"/>
            <family val="2"/>
            <scheme val="minor"/>
          </rPr>
          <t>Seleccione el tipo de procedimiento</t>
        </r>
      </text>
    </comment>
    <comment ref="E147" authorId="1" shapeId="0" xr:uid="{41645284-82AE-451E-B01A-18C31C5F6A09}">
      <text>
        <r>
          <rPr>
            <sz val="11"/>
            <color theme="1"/>
            <rFont val="Calibri"/>
            <family val="2"/>
            <scheme val="minor"/>
          </rPr>
          <t>Seleccione un valor de la lista</t>
        </r>
      </text>
    </comment>
    <comment ref="F147" authorId="1" shapeId="0" xr:uid="{9E0C63A5-0CED-4354-A5A4-590D6835B12A}">
      <text>
        <r>
          <rPr>
            <sz val="11"/>
            <color theme="1"/>
            <rFont val="Calibri"/>
            <family val="2"/>
            <scheme val="minor"/>
          </rPr>
          <t>Introduzca el código SNIP</t>
        </r>
      </text>
    </comment>
    <comment ref="F148" authorId="1" shapeId="0" xr:uid="{BE555D86-5C26-457E-8298-FE5581A873D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9" authorId="1" shapeId="0" xr:uid="{F09860E1-75BD-4B56-84ED-FF9719C6CA7C}">
      <text/>
    </comment>
    <comment ref="F150" authorId="1" shapeId="0" xr:uid="{10AF38EF-C5EE-4329-A744-A3647D21519C}">
      <text/>
    </comment>
    <comment ref="F151" authorId="1" shapeId="0" xr:uid="{77BFBCED-2746-42CB-A8E7-B9DC5F59050D}">
      <text/>
    </comment>
    <comment ref="A153" authorId="1" shapeId="0" xr:uid="{EA075D67-1811-4C98-A519-962945EF7E85}">
      <text>
        <r>
          <rPr>
            <sz val="11"/>
            <color theme="1"/>
            <rFont val="Calibri"/>
            <family val="2"/>
            <scheme val="minor"/>
          </rPr>
          <t>Introduzca un codigo UNSPSC</t>
        </r>
      </text>
    </comment>
    <comment ref="B153" authorId="1" shapeId="0" xr:uid="{6D361747-D46A-41E5-A5FF-84A7FAD68772}">
      <text>
        <r>
          <rPr>
            <sz val="11"/>
            <color theme="1"/>
            <rFont val="Calibri"/>
            <family val="2"/>
            <scheme val="minor"/>
          </rPr>
          <t>Descripción calculada automáticamente a partir de código del artículo</t>
        </r>
      </text>
    </comment>
    <comment ref="D153" authorId="1" shapeId="0" xr:uid="{6A32486B-EE89-4837-9C39-6A0EC91BEF24}">
      <text>
        <r>
          <rPr>
            <sz val="11"/>
            <color theme="1"/>
            <rFont val="Calibri"/>
            <family val="2"/>
            <scheme val="minor"/>
          </rPr>
          <t>Introduzca un número con dos decimales como máximo. Debe ser igual o mayor a la "Cantidad Real Consumida"</t>
        </r>
      </text>
    </comment>
    <comment ref="E153" authorId="1" shapeId="0" xr:uid="{F8022767-C92F-45AE-8461-9963A61A81E3}">
      <text>
        <r>
          <rPr>
            <sz val="11"/>
            <color theme="1"/>
            <rFont val="Calibri"/>
            <family val="2"/>
            <scheme val="minor"/>
          </rPr>
          <t>Introduzca un número con dos decimales como máximo</t>
        </r>
      </text>
    </comment>
    <comment ref="F153" authorId="1" shapeId="0" xr:uid="{EC11895A-E86A-4C8F-BFF7-5A91AB23C69D}">
      <text>
        <r>
          <rPr>
            <sz val="11"/>
            <color theme="1"/>
            <rFont val="Calibri"/>
            <family val="2"/>
            <scheme val="minor"/>
          </rPr>
          <t>Monto calculado automáticamente por el sistema</t>
        </r>
      </text>
    </comment>
    <comment ref="A159" authorId="1" shapeId="0" xr:uid="{0E4A7A94-3F2E-43A1-9DC9-BCC9E2CAEB7D}">
      <text>
        <r>
          <rPr>
            <sz val="11"/>
            <color theme="1"/>
            <rFont val="Calibri"/>
            <family val="2"/>
            <scheme val="minor"/>
          </rPr>
          <t>Introducir un texto con el nombre o referencia de la contratación</t>
        </r>
      </text>
    </comment>
    <comment ref="B159" authorId="1" shapeId="0" xr:uid="{41FFE38F-0E90-4448-AE69-A1D7BB4CFA2C}">
      <text>
        <r>
          <rPr>
            <sz val="11"/>
            <color theme="1"/>
            <rFont val="Calibri"/>
            <family val="2"/>
            <scheme val="minor"/>
          </rPr>
          <t>Introduzca un texto con la finalidad de la contratación</t>
        </r>
      </text>
    </comment>
    <comment ref="D159" authorId="1" shapeId="0" xr:uid="{28D450A9-E98A-4942-B284-33A227DE231E}">
      <text>
        <r>
          <rPr>
            <sz val="11"/>
            <color theme="1"/>
            <rFont val="Calibri"/>
            <family val="2"/>
            <scheme val="minor"/>
          </rPr>
          <t>Seleccione el tipo de procedimiento</t>
        </r>
      </text>
    </comment>
    <comment ref="E159" authorId="1" shapeId="0" xr:uid="{F501C5E3-6FFE-4F55-BC86-B7FA15DE1EA7}">
      <text>
        <r>
          <rPr>
            <sz val="11"/>
            <color theme="1"/>
            <rFont val="Calibri"/>
            <family val="2"/>
            <scheme val="minor"/>
          </rPr>
          <t>Seleccione un valor de la lista</t>
        </r>
      </text>
    </comment>
    <comment ref="F159" authorId="1" shapeId="0" xr:uid="{205DD365-7C74-4512-AF18-7A908024256D}">
      <text>
        <r>
          <rPr>
            <sz val="11"/>
            <color theme="1"/>
            <rFont val="Calibri"/>
            <family val="2"/>
            <scheme val="minor"/>
          </rPr>
          <t>Introduzca el código SNIP</t>
        </r>
      </text>
    </comment>
    <comment ref="F160" authorId="1" shapeId="0" xr:uid="{44D84FED-751D-4D75-B623-1B8D2DBC042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 authorId="1" shapeId="0" xr:uid="{37363382-BAE9-49CE-98C7-ED67FFB1AE5B}">
      <text/>
    </comment>
    <comment ref="F162" authorId="1" shapeId="0" xr:uid="{D7295F76-1709-4B1B-B4A0-7CC184A5612E}">
      <text/>
    </comment>
    <comment ref="F163" authorId="1" shapeId="0" xr:uid="{8CF22287-7E85-4E1A-96A3-86CAED527BDD}">
      <text/>
    </comment>
    <comment ref="A165" authorId="1" shapeId="0" xr:uid="{345D6591-0BC8-4790-A27B-7EBC8F60F3E3}">
      <text>
        <r>
          <rPr>
            <sz val="11"/>
            <color theme="1"/>
            <rFont val="Calibri"/>
            <family val="2"/>
            <scheme val="minor"/>
          </rPr>
          <t>Introduzca un codigo UNSPSC</t>
        </r>
      </text>
    </comment>
    <comment ref="B165" authorId="1" shapeId="0" xr:uid="{B53E1C21-0BC8-4C00-BFB3-479EAE03B827}">
      <text>
        <r>
          <rPr>
            <sz val="11"/>
            <color theme="1"/>
            <rFont val="Calibri"/>
            <family val="2"/>
            <scheme val="minor"/>
          </rPr>
          <t>Descripción calculada automáticamente a partir de código del artículo</t>
        </r>
      </text>
    </comment>
    <comment ref="D165" authorId="1" shapeId="0" xr:uid="{637C0175-64B2-4CE4-BEBE-041BD176206E}">
      <text>
        <r>
          <rPr>
            <sz val="11"/>
            <color theme="1"/>
            <rFont val="Calibri"/>
            <family val="2"/>
            <scheme val="minor"/>
          </rPr>
          <t>Introduzca un número con dos decimales como máximo. Debe ser igual o mayor a la "Cantidad Real Consumida"</t>
        </r>
      </text>
    </comment>
    <comment ref="E165" authorId="1" shapeId="0" xr:uid="{EC74280C-27CD-4C61-A982-B44F7A0A8916}">
      <text>
        <r>
          <rPr>
            <sz val="11"/>
            <color theme="1"/>
            <rFont val="Calibri"/>
            <family val="2"/>
            <scheme val="minor"/>
          </rPr>
          <t>Introduzca un número con dos decimales como máximo</t>
        </r>
      </text>
    </comment>
    <comment ref="F165" authorId="1" shapeId="0" xr:uid="{5345782A-D757-4D4F-81AC-A34A1F66DDF7}">
      <text>
        <r>
          <rPr>
            <sz val="11"/>
            <color theme="1"/>
            <rFont val="Calibri"/>
            <family val="2"/>
            <scheme val="minor"/>
          </rPr>
          <t>Monto calculado automáticamente por el sistema</t>
        </r>
      </text>
    </comment>
    <comment ref="A172" authorId="1" shapeId="0" xr:uid="{C0D00F3C-C547-413B-BC4A-09FBEDED06C7}">
      <text>
        <r>
          <rPr>
            <sz val="11"/>
            <color theme="1"/>
            <rFont val="Calibri"/>
            <family val="2"/>
            <scheme val="minor"/>
          </rPr>
          <t>Introducir un texto con el nombre o referencia de la contratación</t>
        </r>
      </text>
    </comment>
    <comment ref="B172" authorId="1" shapeId="0" xr:uid="{B8C23992-4F11-4068-A868-FE1BBB8B80E4}">
      <text>
        <r>
          <rPr>
            <sz val="11"/>
            <color theme="1"/>
            <rFont val="Calibri"/>
            <family val="2"/>
            <scheme val="minor"/>
          </rPr>
          <t>Introduzca un texto con la finalidad de la contratación</t>
        </r>
      </text>
    </comment>
    <comment ref="D172" authorId="1" shapeId="0" xr:uid="{AC63118B-0091-4B35-AC04-E4151F3B0CD9}">
      <text>
        <r>
          <rPr>
            <sz val="11"/>
            <color theme="1"/>
            <rFont val="Calibri"/>
            <family val="2"/>
            <scheme val="minor"/>
          </rPr>
          <t>Seleccione el tipo de procedimiento</t>
        </r>
      </text>
    </comment>
    <comment ref="E172" authorId="1" shapeId="0" xr:uid="{8B7F3D18-AA21-4CE1-9B76-234E851EFDE6}">
      <text>
        <r>
          <rPr>
            <sz val="11"/>
            <color theme="1"/>
            <rFont val="Calibri"/>
            <family val="2"/>
            <scheme val="minor"/>
          </rPr>
          <t>Seleccione un valor de la lista</t>
        </r>
      </text>
    </comment>
    <comment ref="F172" authorId="1" shapeId="0" xr:uid="{EA1896DF-7CB2-402F-B301-C38CA05770FA}">
      <text>
        <r>
          <rPr>
            <sz val="11"/>
            <color theme="1"/>
            <rFont val="Calibri"/>
            <family val="2"/>
            <scheme val="minor"/>
          </rPr>
          <t>Introduzca el código SNIP</t>
        </r>
      </text>
    </comment>
    <comment ref="F173" authorId="1" shapeId="0" xr:uid="{DE7D11C2-A849-432A-AB85-40E185A6582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4" authorId="1" shapeId="0" xr:uid="{DE0E093F-DA4F-434F-A75A-AC879608D9F5}">
      <text/>
    </comment>
    <comment ref="F175" authorId="1" shapeId="0" xr:uid="{310FBEFE-F37E-4E19-AD0B-F4873B7D630D}">
      <text/>
    </comment>
    <comment ref="F176" authorId="1" shapeId="0" xr:uid="{95B7CF54-8019-485E-8CB4-7AAA0EFBE7F2}">
      <text/>
    </comment>
    <comment ref="A178" authorId="1" shapeId="0" xr:uid="{A69992B3-94A3-444F-88DD-64228696DAC7}">
      <text>
        <r>
          <rPr>
            <sz val="11"/>
            <color theme="1"/>
            <rFont val="Calibri"/>
            <family val="2"/>
            <scheme val="minor"/>
          </rPr>
          <t>Introduzca un codigo UNSPSC</t>
        </r>
      </text>
    </comment>
    <comment ref="B178" authorId="1" shapeId="0" xr:uid="{91443BBC-1A56-4C42-B1D6-AAA9EC80B92C}">
      <text>
        <r>
          <rPr>
            <sz val="11"/>
            <color theme="1"/>
            <rFont val="Calibri"/>
            <family val="2"/>
            <scheme val="minor"/>
          </rPr>
          <t>Descripción calculada automáticamente a partir de código del artículo</t>
        </r>
      </text>
    </comment>
    <comment ref="D178" authorId="1" shapeId="0" xr:uid="{F0BF7D2D-1998-4AD2-93DD-8F7461969F2C}">
      <text>
        <r>
          <rPr>
            <sz val="11"/>
            <color theme="1"/>
            <rFont val="Calibri"/>
            <family val="2"/>
            <scheme val="minor"/>
          </rPr>
          <t>Introduzca un número con dos decimales como máximo. Debe ser igual o mayor a la "Cantidad Real Consumida"</t>
        </r>
      </text>
    </comment>
    <comment ref="E178" authorId="1" shapeId="0" xr:uid="{3D2A00B9-CC3D-4ED5-86C8-B34435AFFD70}">
      <text>
        <r>
          <rPr>
            <sz val="11"/>
            <color theme="1"/>
            <rFont val="Calibri"/>
            <family val="2"/>
            <scheme val="minor"/>
          </rPr>
          <t>Introduzca un número con dos decimales como máximo</t>
        </r>
      </text>
    </comment>
    <comment ref="F178" authorId="1" shapeId="0" xr:uid="{CB3FA4F2-AB5B-482D-BB6E-7635E872F4DE}">
      <text>
        <r>
          <rPr>
            <sz val="11"/>
            <color theme="1"/>
            <rFont val="Calibri"/>
            <family val="2"/>
            <scheme val="minor"/>
          </rPr>
          <t>Monto calculado automáticamente por el sistema</t>
        </r>
      </text>
    </comment>
    <comment ref="A185" authorId="1" shapeId="0" xr:uid="{AA008EBD-2464-420C-BAE1-79A225D7A570}">
      <text>
        <r>
          <rPr>
            <sz val="11"/>
            <color theme="1"/>
            <rFont val="Calibri"/>
            <family val="2"/>
            <scheme val="minor"/>
          </rPr>
          <t>Introducir un texto con el nombre o referencia de la contratación</t>
        </r>
      </text>
    </comment>
    <comment ref="B185" authorId="1" shapeId="0" xr:uid="{58BA04C3-E4D2-4E46-9D5B-28B428BFA6C5}">
      <text>
        <r>
          <rPr>
            <sz val="11"/>
            <color theme="1"/>
            <rFont val="Calibri"/>
            <family val="2"/>
            <scheme val="minor"/>
          </rPr>
          <t>Introduzca un texto con la finalidad de la contratación</t>
        </r>
      </text>
    </comment>
    <comment ref="D185" authorId="1" shapeId="0" xr:uid="{7FFDFB13-945A-451D-BCD5-54078DFEABDA}">
      <text>
        <r>
          <rPr>
            <sz val="11"/>
            <color theme="1"/>
            <rFont val="Calibri"/>
            <family val="2"/>
            <scheme val="minor"/>
          </rPr>
          <t>Seleccione el tipo de procedimiento</t>
        </r>
      </text>
    </comment>
    <comment ref="E185" authorId="1" shapeId="0" xr:uid="{FC654599-0574-4935-A2E7-A590696633BF}">
      <text>
        <r>
          <rPr>
            <sz val="11"/>
            <color theme="1"/>
            <rFont val="Calibri"/>
            <family val="2"/>
            <scheme val="minor"/>
          </rPr>
          <t>Seleccione un valor de la lista</t>
        </r>
      </text>
    </comment>
    <comment ref="F185" authorId="1" shapeId="0" xr:uid="{4E5DC692-A1F6-4991-B7EB-71323AABE973}">
      <text>
        <r>
          <rPr>
            <sz val="11"/>
            <color theme="1"/>
            <rFont val="Calibri"/>
            <family val="2"/>
            <scheme val="minor"/>
          </rPr>
          <t>Introduzca el código SNIP</t>
        </r>
      </text>
    </comment>
    <comment ref="F186" authorId="1" shapeId="0" xr:uid="{DCFA4378-7416-4242-AFF7-A5F944AD33F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7" authorId="1" shapeId="0" xr:uid="{D10D129C-DDB3-4802-95D6-C8225533A7C6}">
      <text/>
    </comment>
    <comment ref="F188" authorId="1" shapeId="0" xr:uid="{34189394-F134-46B9-8573-B12086BD8676}">
      <text/>
    </comment>
    <comment ref="F189" authorId="1" shapeId="0" xr:uid="{226DEE88-ACE5-44BE-94CC-AC6104542177}">
      <text/>
    </comment>
    <comment ref="A191" authorId="1" shapeId="0" xr:uid="{274EE229-CC65-4187-87C7-0582EE32C058}">
      <text>
        <r>
          <rPr>
            <sz val="11"/>
            <color theme="1"/>
            <rFont val="Calibri"/>
            <family val="2"/>
            <scheme val="minor"/>
          </rPr>
          <t>Introduzca un codigo UNSPSC</t>
        </r>
      </text>
    </comment>
    <comment ref="B191" authorId="1" shapeId="0" xr:uid="{AA77DDBA-6275-4345-BCF0-26B7AE42EE46}">
      <text>
        <r>
          <rPr>
            <sz val="11"/>
            <color theme="1"/>
            <rFont val="Calibri"/>
            <family val="2"/>
            <scheme val="minor"/>
          </rPr>
          <t>Descripción calculada automáticamente a partir de código del artículo</t>
        </r>
      </text>
    </comment>
    <comment ref="D191" authorId="1" shapeId="0" xr:uid="{91B2FEDB-8BC2-4FA9-B6E0-AFC6BAD51799}">
      <text>
        <r>
          <rPr>
            <sz val="11"/>
            <color theme="1"/>
            <rFont val="Calibri"/>
            <family val="2"/>
            <scheme val="minor"/>
          </rPr>
          <t>Introduzca un número con dos decimales como máximo. Debe ser igual o mayor a la "Cantidad Real Consumida"</t>
        </r>
      </text>
    </comment>
    <comment ref="E191" authorId="1" shapeId="0" xr:uid="{1E5576C2-0374-401C-95AA-B3CE0752860F}">
      <text>
        <r>
          <rPr>
            <sz val="11"/>
            <color theme="1"/>
            <rFont val="Calibri"/>
            <family val="2"/>
            <scheme val="minor"/>
          </rPr>
          <t>Introduzca un número con dos decimales como máximo</t>
        </r>
      </text>
    </comment>
    <comment ref="F191" authorId="1" shapeId="0" xr:uid="{2F95A5A9-9CF7-4D20-81B5-3ECABF52277C}">
      <text>
        <r>
          <rPr>
            <sz val="11"/>
            <color theme="1"/>
            <rFont val="Calibri"/>
            <family val="2"/>
            <scheme val="minor"/>
          </rPr>
          <t>Monto calculado automáticamente por el sistema</t>
        </r>
      </text>
    </comment>
    <comment ref="A199" authorId="1" shapeId="0" xr:uid="{B8858175-AD52-45E7-A2F2-778771FC473A}">
      <text>
        <r>
          <rPr>
            <sz val="11"/>
            <color theme="1"/>
            <rFont val="Calibri"/>
            <family val="2"/>
            <scheme val="minor"/>
          </rPr>
          <t>Introducir un texto con el nombre o referencia de la contratación</t>
        </r>
      </text>
    </comment>
    <comment ref="B199" authorId="1" shapeId="0" xr:uid="{99E7E14C-BE78-498E-88D3-42B16FE7CBEB}">
      <text>
        <r>
          <rPr>
            <sz val="11"/>
            <color theme="1"/>
            <rFont val="Calibri"/>
            <family val="2"/>
            <scheme val="minor"/>
          </rPr>
          <t>Introduzca un texto con la finalidad de la contratación</t>
        </r>
      </text>
    </comment>
    <comment ref="D199" authorId="1" shapeId="0" xr:uid="{CB788367-06D6-4E14-8FF0-0B7038A7BE1E}">
      <text>
        <r>
          <rPr>
            <sz val="11"/>
            <color theme="1"/>
            <rFont val="Calibri"/>
            <family val="2"/>
            <scheme val="minor"/>
          </rPr>
          <t>Seleccione el tipo de procedimiento</t>
        </r>
      </text>
    </comment>
    <comment ref="E199" authorId="1" shapeId="0" xr:uid="{833CF0FA-2E56-4263-AED4-89071156475F}">
      <text>
        <r>
          <rPr>
            <sz val="11"/>
            <color theme="1"/>
            <rFont val="Calibri"/>
            <family val="2"/>
            <scheme val="minor"/>
          </rPr>
          <t>Seleccione un valor de la lista</t>
        </r>
      </text>
    </comment>
    <comment ref="F199" authorId="1" shapeId="0" xr:uid="{5033DC6F-383E-4E8A-B6AC-A6EEE8E330DD}">
      <text>
        <r>
          <rPr>
            <sz val="11"/>
            <color theme="1"/>
            <rFont val="Calibri"/>
            <family val="2"/>
            <scheme val="minor"/>
          </rPr>
          <t>Introduzca el código SNIP</t>
        </r>
      </text>
    </comment>
    <comment ref="F200" authorId="1" shapeId="0" xr:uid="{13F03658-0333-4A5A-9D1D-C00740A1609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1" authorId="1" shapeId="0" xr:uid="{28E8F44C-DA45-45BB-9B7D-2FB113B808E8}">
      <text/>
    </comment>
    <comment ref="F202" authorId="1" shapeId="0" xr:uid="{3A549AC9-3CD6-4922-BFBF-6C959C8BA0B1}">
      <text/>
    </comment>
    <comment ref="F203" authorId="1" shapeId="0" xr:uid="{B87447DA-2B7E-4369-B4FF-D07B8B190379}">
      <text/>
    </comment>
    <comment ref="A205" authorId="1" shapeId="0" xr:uid="{2D3705A5-C455-488C-ADCA-A598BD1C6DF3}">
      <text>
        <r>
          <rPr>
            <sz val="11"/>
            <color theme="1"/>
            <rFont val="Calibri"/>
            <family val="2"/>
            <scheme val="minor"/>
          </rPr>
          <t>Introduzca un codigo UNSPSC</t>
        </r>
      </text>
    </comment>
    <comment ref="B205" authorId="1" shapeId="0" xr:uid="{A6334980-C91B-462D-A544-1A8A42CC31AD}">
      <text>
        <r>
          <rPr>
            <sz val="11"/>
            <color theme="1"/>
            <rFont val="Calibri"/>
            <family val="2"/>
            <scheme val="minor"/>
          </rPr>
          <t>Descripción calculada automáticamente a partir de código del artículo</t>
        </r>
      </text>
    </comment>
    <comment ref="D205" authorId="1" shapeId="0" xr:uid="{50B8E169-E195-4D3D-B551-209EC9C57AC6}">
      <text>
        <r>
          <rPr>
            <sz val="11"/>
            <color theme="1"/>
            <rFont val="Calibri"/>
            <family val="2"/>
            <scheme val="minor"/>
          </rPr>
          <t>Introduzca un número con dos decimales como máximo. Debe ser igual o mayor a la "Cantidad Real Consumida"</t>
        </r>
      </text>
    </comment>
    <comment ref="E205" authorId="1" shapeId="0" xr:uid="{A760E0E9-3575-4DA3-BCFB-8DBB4E8C16DF}">
      <text>
        <r>
          <rPr>
            <sz val="11"/>
            <color theme="1"/>
            <rFont val="Calibri"/>
            <family val="2"/>
            <scheme val="minor"/>
          </rPr>
          <t>Introduzca un número con dos decimales como máximo</t>
        </r>
      </text>
    </comment>
    <comment ref="F205" authorId="1" shapeId="0" xr:uid="{D975BADA-1AC9-42A0-8C32-965F5A8A7D0E}">
      <text>
        <r>
          <rPr>
            <sz val="11"/>
            <color theme="1"/>
            <rFont val="Calibri"/>
            <family val="2"/>
            <scheme val="minor"/>
          </rPr>
          <t>Monto calculado automáticamente por el sistema</t>
        </r>
      </text>
    </comment>
    <comment ref="A219" authorId="1" shapeId="0" xr:uid="{1451558E-7FA7-4842-850E-6870B49B1B3E}">
      <text>
        <r>
          <rPr>
            <sz val="11"/>
            <color theme="1"/>
            <rFont val="Calibri"/>
            <family val="2"/>
            <scheme val="minor"/>
          </rPr>
          <t>Introducir un texto con el nombre o referencia de la contratación</t>
        </r>
      </text>
    </comment>
    <comment ref="B219" authorId="1" shapeId="0" xr:uid="{FC46AB22-69E4-4E1A-BAF3-5F00DCFA58E4}">
      <text>
        <r>
          <rPr>
            <sz val="11"/>
            <color theme="1"/>
            <rFont val="Calibri"/>
            <family val="2"/>
            <scheme val="minor"/>
          </rPr>
          <t>Introduzca un texto con la finalidad de la contratación</t>
        </r>
      </text>
    </comment>
    <comment ref="D219" authorId="1" shapeId="0" xr:uid="{70CC68E6-F96F-44AC-A1B1-2C8800E05E68}">
      <text>
        <r>
          <rPr>
            <sz val="11"/>
            <color theme="1"/>
            <rFont val="Calibri"/>
            <family val="2"/>
            <scheme val="minor"/>
          </rPr>
          <t>Seleccione el tipo de procedimiento</t>
        </r>
      </text>
    </comment>
    <comment ref="E219" authorId="1" shapeId="0" xr:uid="{451CD34A-D45F-4B82-9657-2A4C07CB6B9F}">
      <text>
        <r>
          <rPr>
            <sz val="11"/>
            <color theme="1"/>
            <rFont val="Calibri"/>
            <family val="2"/>
            <scheme val="minor"/>
          </rPr>
          <t>Seleccione un valor de la lista</t>
        </r>
      </text>
    </comment>
    <comment ref="F219" authorId="1" shapeId="0" xr:uid="{2BB778D0-A70C-49E9-9306-031ACC78D475}">
      <text>
        <r>
          <rPr>
            <sz val="11"/>
            <color theme="1"/>
            <rFont val="Calibri"/>
            <family val="2"/>
            <scheme val="minor"/>
          </rPr>
          <t>Introduzca el código SNIP</t>
        </r>
      </text>
    </comment>
    <comment ref="F220" authorId="1" shapeId="0" xr:uid="{DD093967-1AE6-4EA5-9580-7AB7EEF8855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1" authorId="1" shapeId="0" xr:uid="{78288CAF-807D-421D-9990-AE39AD57FD00}">
      <text/>
    </comment>
    <comment ref="F222" authorId="1" shapeId="0" xr:uid="{BCA5F40B-4C7A-4843-AD51-7E9657BFC729}">
      <text/>
    </comment>
    <comment ref="F223" authorId="1" shapeId="0" xr:uid="{2C9AAC60-63E5-47B3-8F4A-B157BF587B41}">
      <text/>
    </comment>
    <comment ref="A225" authorId="1" shapeId="0" xr:uid="{F820B820-384B-44BD-B5F3-DDBFC630BB10}">
      <text>
        <r>
          <rPr>
            <sz val="11"/>
            <color theme="1"/>
            <rFont val="Calibri"/>
            <family val="2"/>
            <scheme val="minor"/>
          </rPr>
          <t>Introduzca un codigo UNSPSC</t>
        </r>
      </text>
    </comment>
    <comment ref="B225" authorId="1" shapeId="0" xr:uid="{68251D6A-2DFF-4001-9C12-E5B3D789D9E7}">
      <text>
        <r>
          <rPr>
            <sz val="11"/>
            <color theme="1"/>
            <rFont val="Calibri"/>
            <family val="2"/>
            <scheme val="minor"/>
          </rPr>
          <t>Descripción calculada automáticamente a partir de código del artículo</t>
        </r>
      </text>
    </comment>
    <comment ref="D225" authorId="1" shapeId="0" xr:uid="{F4C92D27-6CF4-4424-B626-0A760E875AAB}">
      <text>
        <r>
          <rPr>
            <sz val="11"/>
            <color theme="1"/>
            <rFont val="Calibri"/>
            <family val="2"/>
            <scheme val="minor"/>
          </rPr>
          <t>Introduzca un número con dos decimales como máximo. Debe ser igual o mayor a la "Cantidad Real Consumida"</t>
        </r>
      </text>
    </comment>
    <comment ref="E225" authorId="1" shapeId="0" xr:uid="{56BE3067-FD5F-4B01-B610-105DC64A3E6E}">
      <text>
        <r>
          <rPr>
            <sz val="11"/>
            <color theme="1"/>
            <rFont val="Calibri"/>
            <family val="2"/>
            <scheme val="minor"/>
          </rPr>
          <t>Introduzca un número con dos decimales como máximo</t>
        </r>
      </text>
    </comment>
    <comment ref="F225" authorId="1" shapeId="0" xr:uid="{DFEDD3D4-781C-45BC-95F1-5B859BC760D2}">
      <text>
        <r>
          <rPr>
            <sz val="11"/>
            <color theme="1"/>
            <rFont val="Calibri"/>
            <family val="2"/>
            <scheme val="minor"/>
          </rPr>
          <t>Monto calculado automáticamente por el sistema</t>
        </r>
      </text>
    </comment>
    <comment ref="A239" authorId="1" shapeId="0" xr:uid="{395356B8-9E9D-43DB-BEF5-6CEA01DD1B9E}">
      <text>
        <r>
          <rPr>
            <sz val="11"/>
            <color theme="1"/>
            <rFont val="Calibri"/>
            <family val="2"/>
            <scheme val="minor"/>
          </rPr>
          <t>Introducir un texto con el nombre o referencia de la contratación</t>
        </r>
      </text>
    </comment>
    <comment ref="B239" authorId="1" shapeId="0" xr:uid="{1ED427E8-0BB8-4F36-A92B-3DFD46405592}">
      <text>
        <r>
          <rPr>
            <sz val="11"/>
            <color theme="1"/>
            <rFont val="Calibri"/>
            <family val="2"/>
            <scheme val="minor"/>
          </rPr>
          <t>Introduzca un texto con la finalidad de la contratación</t>
        </r>
      </text>
    </comment>
    <comment ref="D239" authorId="1" shapeId="0" xr:uid="{657C5639-B4CE-4215-9CD8-A96456DA6FE4}">
      <text>
        <r>
          <rPr>
            <sz val="11"/>
            <color theme="1"/>
            <rFont val="Calibri"/>
            <family val="2"/>
            <scheme val="minor"/>
          </rPr>
          <t>Seleccione el tipo de procedimiento</t>
        </r>
      </text>
    </comment>
    <comment ref="E239" authorId="1" shapeId="0" xr:uid="{7C3983EB-66FE-4D24-A541-A9BF32B52175}">
      <text>
        <r>
          <rPr>
            <sz val="11"/>
            <color theme="1"/>
            <rFont val="Calibri"/>
            <family val="2"/>
            <scheme val="minor"/>
          </rPr>
          <t>Seleccione un valor de la lista</t>
        </r>
      </text>
    </comment>
    <comment ref="F239" authorId="1" shapeId="0" xr:uid="{7D3A2739-4526-4E30-9FF7-0397321792B7}">
      <text>
        <r>
          <rPr>
            <sz val="11"/>
            <color theme="1"/>
            <rFont val="Calibri"/>
            <family val="2"/>
            <scheme val="minor"/>
          </rPr>
          <t>Introduzca el código SNIP</t>
        </r>
      </text>
    </comment>
    <comment ref="F240" authorId="1" shapeId="0" xr:uid="{62E82283-8AE0-4F4E-AB39-7772DAAA2A3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1" authorId="1" shapeId="0" xr:uid="{11F2DEB3-6234-4C3B-A5CF-76AF69027F3C}">
      <text/>
    </comment>
    <comment ref="F242" authorId="1" shapeId="0" xr:uid="{955E9600-8479-4AA4-8196-241A27651270}">
      <text/>
    </comment>
    <comment ref="F243" authorId="1" shapeId="0" xr:uid="{964BCB80-5D54-4852-8170-E87C61791B7C}">
      <text/>
    </comment>
    <comment ref="A245" authorId="1" shapeId="0" xr:uid="{085F10F7-EF58-48BA-AA59-09620E6DF8E0}">
      <text>
        <r>
          <rPr>
            <sz val="11"/>
            <color theme="1"/>
            <rFont val="Calibri"/>
            <family val="2"/>
            <scheme val="minor"/>
          </rPr>
          <t>Introduzca un codigo UNSPSC</t>
        </r>
      </text>
    </comment>
    <comment ref="B245" authorId="1" shapeId="0" xr:uid="{B6BBC0CB-3F70-4B12-B2AD-26E1EDB10BA2}">
      <text>
        <r>
          <rPr>
            <sz val="11"/>
            <color theme="1"/>
            <rFont val="Calibri"/>
            <family val="2"/>
            <scheme val="minor"/>
          </rPr>
          <t>Descripción calculada automáticamente a partir de código del artículo</t>
        </r>
      </text>
    </comment>
    <comment ref="D245" authorId="1" shapeId="0" xr:uid="{CBE223D6-6CF6-4277-9931-894CD3FBE48A}">
      <text>
        <r>
          <rPr>
            <sz val="11"/>
            <color theme="1"/>
            <rFont val="Calibri"/>
            <family val="2"/>
            <scheme val="minor"/>
          </rPr>
          <t>Introduzca un número con dos decimales como máximo. Debe ser igual o mayor a la "Cantidad Real Consumida"</t>
        </r>
      </text>
    </comment>
    <comment ref="E245" authorId="1" shapeId="0" xr:uid="{B80C46F9-B7F5-460B-BBDF-8957CC67DCA9}">
      <text>
        <r>
          <rPr>
            <sz val="11"/>
            <color theme="1"/>
            <rFont val="Calibri"/>
            <family val="2"/>
            <scheme val="minor"/>
          </rPr>
          <t>Introduzca un número con dos decimales como máximo</t>
        </r>
      </text>
    </comment>
    <comment ref="F245" authorId="1" shapeId="0" xr:uid="{4A860A21-85AD-4875-8507-C9F54815F8F8}">
      <text>
        <r>
          <rPr>
            <sz val="11"/>
            <color theme="1"/>
            <rFont val="Calibri"/>
            <family val="2"/>
            <scheme val="minor"/>
          </rPr>
          <t>Monto calculado automáticamente por el sistema</t>
        </r>
      </text>
    </comment>
    <comment ref="A259" authorId="1" shapeId="0" xr:uid="{9A47FDC3-0909-49F8-B337-A181AD497751}">
      <text>
        <r>
          <rPr>
            <sz val="11"/>
            <color theme="1"/>
            <rFont val="Calibri"/>
            <family val="2"/>
            <scheme val="minor"/>
          </rPr>
          <t>Introducir un texto con el nombre o referencia de la contratación</t>
        </r>
      </text>
    </comment>
    <comment ref="B259" authorId="1" shapeId="0" xr:uid="{3C033EFA-F558-4E34-829D-A25D8D48C4F9}">
      <text>
        <r>
          <rPr>
            <sz val="11"/>
            <color theme="1"/>
            <rFont val="Calibri"/>
            <family val="2"/>
            <scheme val="minor"/>
          </rPr>
          <t>Introduzca un texto con la finalidad de la contratación</t>
        </r>
      </text>
    </comment>
    <comment ref="D259" authorId="1" shapeId="0" xr:uid="{96C4EE36-29A9-4AEB-A5E1-3A55F7C28E3A}">
      <text>
        <r>
          <rPr>
            <sz val="11"/>
            <color theme="1"/>
            <rFont val="Calibri"/>
            <family val="2"/>
            <scheme val="minor"/>
          </rPr>
          <t>Seleccione el tipo de procedimiento</t>
        </r>
      </text>
    </comment>
    <comment ref="E259" authorId="1" shapeId="0" xr:uid="{2F208E80-3013-41FB-83C2-E6F59845F9B5}">
      <text>
        <r>
          <rPr>
            <sz val="11"/>
            <color theme="1"/>
            <rFont val="Calibri"/>
            <family val="2"/>
            <scheme val="minor"/>
          </rPr>
          <t>Seleccione un valor de la lista</t>
        </r>
      </text>
    </comment>
    <comment ref="F259" authorId="1" shapeId="0" xr:uid="{48BFEC5D-42E0-43C1-BBCB-508974AD771D}">
      <text>
        <r>
          <rPr>
            <sz val="11"/>
            <color theme="1"/>
            <rFont val="Calibri"/>
            <family val="2"/>
            <scheme val="minor"/>
          </rPr>
          <t>Introduzca el código SNIP</t>
        </r>
      </text>
    </comment>
    <comment ref="F260" authorId="1" shapeId="0" xr:uid="{EBB90DA8-1313-434E-9E62-7EAF13868B0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1" authorId="1" shapeId="0" xr:uid="{3C51ED58-9DF2-41B3-9984-FCDC30EECD0C}">
      <text/>
    </comment>
    <comment ref="F262" authorId="1" shapeId="0" xr:uid="{AE43B436-7CAE-45BC-91BC-CF4E64D5FF6A}">
      <text/>
    </comment>
    <comment ref="F263" authorId="1" shapeId="0" xr:uid="{2C2EA7A7-D2BB-4844-90C6-E5274AB30E78}">
      <text/>
    </comment>
    <comment ref="A265" authorId="1" shapeId="0" xr:uid="{375634EF-E31C-4D62-B88D-1E7234A5CBA7}">
      <text>
        <r>
          <rPr>
            <sz val="11"/>
            <color theme="1"/>
            <rFont val="Calibri"/>
            <family val="2"/>
            <scheme val="minor"/>
          </rPr>
          <t>Introduzca un codigo UNSPSC</t>
        </r>
      </text>
    </comment>
    <comment ref="B265" authorId="1" shapeId="0" xr:uid="{B8CB3249-F405-449E-9262-92ED1A28F44A}">
      <text>
        <r>
          <rPr>
            <sz val="11"/>
            <color theme="1"/>
            <rFont val="Calibri"/>
            <family val="2"/>
            <scheme val="minor"/>
          </rPr>
          <t>Descripción calculada automáticamente a partir de código del artículo</t>
        </r>
      </text>
    </comment>
    <comment ref="D265" authorId="1" shapeId="0" xr:uid="{2B9908BB-EF04-4243-92B9-6D49F26DFED4}">
      <text>
        <r>
          <rPr>
            <sz val="11"/>
            <color theme="1"/>
            <rFont val="Calibri"/>
            <family val="2"/>
            <scheme val="minor"/>
          </rPr>
          <t>Introduzca un número con dos decimales como máximo. Debe ser igual o mayor a la "Cantidad Real Consumida"</t>
        </r>
      </text>
    </comment>
    <comment ref="E265" authorId="1" shapeId="0" xr:uid="{94396585-892D-4D6C-8E5F-C59848588F7A}">
      <text>
        <r>
          <rPr>
            <sz val="11"/>
            <color theme="1"/>
            <rFont val="Calibri"/>
            <family val="2"/>
            <scheme val="minor"/>
          </rPr>
          <t>Introduzca un número con dos decimales como máximo</t>
        </r>
      </text>
    </comment>
    <comment ref="F265" authorId="1" shapeId="0" xr:uid="{4F618CF1-9664-4534-AB1F-337DBEA5E6B2}">
      <text>
        <r>
          <rPr>
            <sz val="11"/>
            <color theme="1"/>
            <rFont val="Calibri"/>
            <family val="2"/>
            <scheme val="minor"/>
          </rPr>
          <t>Monto calculado automáticamente por el sistema</t>
        </r>
      </text>
    </comment>
    <comment ref="A279" authorId="1" shapeId="0" xr:uid="{8BA2083A-6AE4-42AA-A827-EE54E985B3B1}">
      <text>
        <r>
          <rPr>
            <sz val="11"/>
            <color theme="1"/>
            <rFont val="Calibri"/>
            <family val="2"/>
            <scheme val="minor"/>
          </rPr>
          <t>Introducir un texto con el nombre o referencia de la contratación</t>
        </r>
      </text>
    </comment>
    <comment ref="B279" authorId="1" shapeId="0" xr:uid="{B2494E18-5221-400B-9FEF-9610D1518C19}">
      <text>
        <r>
          <rPr>
            <sz val="11"/>
            <color theme="1"/>
            <rFont val="Calibri"/>
            <family val="2"/>
            <scheme val="minor"/>
          </rPr>
          <t>Introduzca un texto con la finalidad de la contratación</t>
        </r>
      </text>
    </comment>
    <comment ref="D279" authorId="1" shapeId="0" xr:uid="{36976B7A-B3E1-4C8A-B57E-13642C07B192}">
      <text>
        <r>
          <rPr>
            <sz val="11"/>
            <color theme="1"/>
            <rFont val="Calibri"/>
            <family val="2"/>
            <scheme val="minor"/>
          </rPr>
          <t>Seleccione el tipo de procedimiento</t>
        </r>
      </text>
    </comment>
    <comment ref="E279" authorId="1" shapeId="0" xr:uid="{3CC401CB-C221-417D-A918-553D83F5A0BB}">
      <text>
        <r>
          <rPr>
            <sz val="11"/>
            <color theme="1"/>
            <rFont val="Calibri"/>
            <family val="2"/>
            <scheme val="minor"/>
          </rPr>
          <t>Seleccione un valor de la lista</t>
        </r>
      </text>
    </comment>
    <comment ref="F279" authorId="1" shapeId="0" xr:uid="{A373AEC3-AF74-46A5-9F3C-849586DB58A5}">
      <text>
        <r>
          <rPr>
            <sz val="11"/>
            <color theme="1"/>
            <rFont val="Calibri"/>
            <family val="2"/>
            <scheme val="minor"/>
          </rPr>
          <t>Introduzca el código SNIP</t>
        </r>
      </text>
    </comment>
    <comment ref="F280" authorId="1" shapeId="0" xr:uid="{8F33B495-111D-4473-A50B-16EBA68CA26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1" authorId="1" shapeId="0" xr:uid="{7F6D18DD-6DAC-4BC5-8D46-2BE0E8B60F2B}">
      <text/>
    </comment>
    <comment ref="F282" authorId="1" shapeId="0" xr:uid="{F2F5B934-B976-433F-B7E2-6514612CC58D}">
      <text/>
    </comment>
    <comment ref="F283" authorId="1" shapeId="0" xr:uid="{FD4522F4-748C-40F5-BFAF-ACFE77B61B40}">
      <text/>
    </comment>
    <comment ref="A285" authorId="1" shapeId="0" xr:uid="{53EC8AD3-C41A-4668-B50C-78028BBEA51B}">
      <text>
        <r>
          <rPr>
            <sz val="11"/>
            <color theme="1"/>
            <rFont val="Calibri"/>
            <family val="2"/>
            <scheme val="minor"/>
          </rPr>
          <t>Introduzca un codigo UNSPSC</t>
        </r>
      </text>
    </comment>
    <comment ref="B285" authorId="1" shapeId="0" xr:uid="{0D922201-466C-489C-8327-324315871C41}">
      <text>
        <r>
          <rPr>
            <sz val="11"/>
            <color theme="1"/>
            <rFont val="Calibri"/>
            <family val="2"/>
            <scheme val="minor"/>
          </rPr>
          <t>Descripción calculada automáticamente a partir de código del artículo</t>
        </r>
      </text>
    </comment>
    <comment ref="D285" authorId="1" shapeId="0" xr:uid="{5EB42112-0250-4E0C-A157-AF7761F22A4C}">
      <text>
        <r>
          <rPr>
            <sz val="11"/>
            <color theme="1"/>
            <rFont val="Calibri"/>
            <family val="2"/>
            <scheme val="minor"/>
          </rPr>
          <t>Introduzca un número con dos decimales como máximo. Debe ser igual o mayor a la "Cantidad Real Consumida"</t>
        </r>
      </text>
    </comment>
    <comment ref="E285" authorId="1" shapeId="0" xr:uid="{354464D4-1514-4FB6-AD5B-2E52A214E0DC}">
      <text>
        <r>
          <rPr>
            <sz val="11"/>
            <color theme="1"/>
            <rFont val="Calibri"/>
            <family val="2"/>
            <scheme val="minor"/>
          </rPr>
          <t>Introduzca un número con dos decimales como máximo</t>
        </r>
      </text>
    </comment>
    <comment ref="F285" authorId="1" shapeId="0" xr:uid="{C9EDD42F-048B-4B0A-AECA-1FCDB2C18D6B}">
      <text>
        <r>
          <rPr>
            <sz val="11"/>
            <color theme="1"/>
            <rFont val="Calibri"/>
            <family val="2"/>
            <scheme val="minor"/>
          </rPr>
          <t>Monto calculado automáticamente por el sistema</t>
        </r>
      </text>
    </comment>
    <comment ref="A307" authorId="1" shapeId="0" xr:uid="{828988E7-3664-4076-ADD2-ABEBD3AFBF43}">
      <text>
        <r>
          <rPr>
            <sz val="11"/>
            <color theme="1"/>
            <rFont val="Calibri"/>
            <family val="2"/>
            <scheme val="minor"/>
          </rPr>
          <t>Introducir un texto con el nombre o referencia de la contratación</t>
        </r>
      </text>
    </comment>
    <comment ref="B307" authorId="1" shapeId="0" xr:uid="{21264C88-AE68-46AA-B7D4-FC5CB9DE1961}">
      <text>
        <r>
          <rPr>
            <sz val="11"/>
            <color theme="1"/>
            <rFont val="Calibri"/>
            <family val="2"/>
            <scheme val="minor"/>
          </rPr>
          <t>Introduzca un texto con la finalidad de la contratación</t>
        </r>
      </text>
    </comment>
    <comment ref="D307" authorId="1" shapeId="0" xr:uid="{4ABF70A6-ABEE-4957-9E6E-4CFF4D0BCFA8}">
      <text>
        <r>
          <rPr>
            <sz val="11"/>
            <color theme="1"/>
            <rFont val="Calibri"/>
            <family val="2"/>
            <scheme val="minor"/>
          </rPr>
          <t>Seleccione el tipo de procedimiento</t>
        </r>
      </text>
    </comment>
    <comment ref="E307" authorId="1" shapeId="0" xr:uid="{D1FB90A7-98DB-4E7C-8DEB-6696C2A61B66}">
      <text>
        <r>
          <rPr>
            <sz val="11"/>
            <color theme="1"/>
            <rFont val="Calibri"/>
            <family val="2"/>
            <scheme val="minor"/>
          </rPr>
          <t>Seleccione un valor de la lista</t>
        </r>
      </text>
    </comment>
    <comment ref="F307" authorId="1" shapeId="0" xr:uid="{5EF4484A-6F30-4273-A781-B49AA2A22A7D}">
      <text>
        <r>
          <rPr>
            <sz val="11"/>
            <color theme="1"/>
            <rFont val="Calibri"/>
            <family val="2"/>
            <scheme val="minor"/>
          </rPr>
          <t>Introduzca el código SNIP</t>
        </r>
      </text>
    </comment>
    <comment ref="F308" authorId="1" shapeId="0" xr:uid="{AA2E2A7A-EDF3-4005-A6EA-2B5EC77C764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9" authorId="1" shapeId="0" xr:uid="{2C65801C-7B50-4535-83D1-71828CA1CCE3}">
      <text/>
    </comment>
    <comment ref="F310" authorId="1" shapeId="0" xr:uid="{329338C9-B70B-4F1D-8869-4B24B474CA59}">
      <text/>
    </comment>
    <comment ref="F311" authorId="1" shapeId="0" xr:uid="{B357F5EA-861F-4EA7-B26B-FAA086658C1E}">
      <text/>
    </comment>
    <comment ref="A313" authorId="1" shapeId="0" xr:uid="{9C8D8F89-F59D-448C-AB95-68F6D4FCEA8F}">
      <text>
        <r>
          <rPr>
            <sz val="11"/>
            <color theme="1"/>
            <rFont val="Calibri"/>
            <family val="2"/>
            <scheme val="minor"/>
          </rPr>
          <t>Introduzca un codigo UNSPSC</t>
        </r>
      </text>
    </comment>
    <comment ref="B313" authorId="1" shapeId="0" xr:uid="{9D581EE9-08BD-4B46-991E-ABE6F099A654}">
      <text>
        <r>
          <rPr>
            <sz val="11"/>
            <color theme="1"/>
            <rFont val="Calibri"/>
            <family val="2"/>
            <scheme val="minor"/>
          </rPr>
          <t>Descripción calculada automáticamente a partir de código del artículo</t>
        </r>
      </text>
    </comment>
    <comment ref="D313" authorId="1" shapeId="0" xr:uid="{0A234FB0-2BE6-4109-9704-CD19711FDA4C}">
      <text>
        <r>
          <rPr>
            <sz val="11"/>
            <color theme="1"/>
            <rFont val="Calibri"/>
            <family val="2"/>
            <scheme val="minor"/>
          </rPr>
          <t>Introduzca un número con dos decimales como máximo. Debe ser igual o mayor a la "Cantidad Real Consumida"</t>
        </r>
      </text>
    </comment>
    <comment ref="E313" authorId="1" shapeId="0" xr:uid="{A6A9070C-2E09-4908-90D4-79E017CA3565}">
      <text>
        <r>
          <rPr>
            <sz val="11"/>
            <color theme="1"/>
            <rFont val="Calibri"/>
            <family val="2"/>
            <scheme val="minor"/>
          </rPr>
          <t>Introduzca un número con dos decimales como máximo</t>
        </r>
      </text>
    </comment>
    <comment ref="F313" authorId="1" shapeId="0" xr:uid="{D31B30E6-6E23-4EFC-8B26-303BF111ECCD}">
      <text>
        <r>
          <rPr>
            <sz val="11"/>
            <color theme="1"/>
            <rFont val="Calibri"/>
            <family val="2"/>
            <scheme val="minor"/>
          </rPr>
          <t>Monto calculado automáticamente por el sistema</t>
        </r>
      </text>
    </comment>
    <comment ref="A336" authorId="1" shapeId="0" xr:uid="{03EFB8A6-D5D1-4980-8190-FD350354C94A}">
      <text>
        <r>
          <rPr>
            <sz val="11"/>
            <color theme="1"/>
            <rFont val="Calibri"/>
            <family val="2"/>
            <scheme val="minor"/>
          </rPr>
          <t>Introducir un texto con el nombre o referencia de la contratación</t>
        </r>
      </text>
    </comment>
    <comment ref="B336" authorId="1" shapeId="0" xr:uid="{109D930E-3EB1-4289-A24C-8CFC7A1A27BD}">
      <text>
        <r>
          <rPr>
            <sz val="11"/>
            <color theme="1"/>
            <rFont val="Calibri"/>
            <family val="2"/>
            <scheme val="minor"/>
          </rPr>
          <t>Introduzca un texto con la finalidad de la contratación</t>
        </r>
      </text>
    </comment>
    <comment ref="D336" authorId="1" shapeId="0" xr:uid="{C7146D29-7ED4-49FA-A558-6C97EB2201AE}">
      <text>
        <r>
          <rPr>
            <sz val="11"/>
            <color theme="1"/>
            <rFont val="Calibri"/>
            <family val="2"/>
            <scheme val="minor"/>
          </rPr>
          <t>Seleccione el tipo de procedimiento</t>
        </r>
      </text>
    </comment>
    <comment ref="E336" authorId="1" shapeId="0" xr:uid="{D5FCBE08-1146-44BE-B969-ADCC21E92790}">
      <text>
        <r>
          <rPr>
            <sz val="11"/>
            <color theme="1"/>
            <rFont val="Calibri"/>
            <family val="2"/>
            <scheme val="minor"/>
          </rPr>
          <t>Seleccione un valor de la lista</t>
        </r>
      </text>
    </comment>
    <comment ref="F336" authorId="1" shapeId="0" xr:uid="{C0B705A0-E814-43D2-A98F-771170C2C226}">
      <text>
        <r>
          <rPr>
            <sz val="11"/>
            <color theme="1"/>
            <rFont val="Calibri"/>
            <family val="2"/>
            <scheme val="minor"/>
          </rPr>
          <t>Introduzca el código SNIP</t>
        </r>
      </text>
    </comment>
    <comment ref="F337" authorId="1" shapeId="0" xr:uid="{9141BAFD-C190-4949-A969-8A7EFE82F96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8" authorId="1" shapeId="0" xr:uid="{876A105D-29A7-479E-8AF1-C9082F39DF4B}">
      <text/>
    </comment>
    <comment ref="F339" authorId="1" shapeId="0" xr:uid="{D63A6F48-55B9-474A-9902-9D7A6FE56761}">
      <text/>
    </comment>
    <comment ref="F340" authorId="1" shapeId="0" xr:uid="{8069800F-1D49-4532-852F-4E174A01EB8B}">
      <text/>
    </comment>
    <comment ref="A342" authorId="1" shapeId="0" xr:uid="{B956D838-37B2-45F0-A1A6-0085DC886EDA}">
      <text>
        <r>
          <rPr>
            <sz val="11"/>
            <color theme="1"/>
            <rFont val="Calibri"/>
            <family val="2"/>
            <scheme val="minor"/>
          </rPr>
          <t>Introduzca un codigo UNSPSC</t>
        </r>
      </text>
    </comment>
    <comment ref="B342" authorId="1" shapeId="0" xr:uid="{D4DF3C37-2A3D-4DAA-BA17-E2ED00E17892}">
      <text>
        <r>
          <rPr>
            <sz val="11"/>
            <color theme="1"/>
            <rFont val="Calibri"/>
            <family val="2"/>
            <scheme val="minor"/>
          </rPr>
          <t>Descripción calculada automáticamente a partir de código del artículo</t>
        </r>
      </text>
    </comment>
    <comment ref="D342" authorId="1" shapeId="0" xr:uid="{26DB3DE3-FE00-4382-B8FF-9C8711267610}">
      <text>
        <r>
          <rPr>
            <sz val="11"/>
            <color theme="1"/>
            <rFont val="Calibri"/>
            <family val="2"/>
            <scheme val="minor"/>
          </rPr>
          <t>Introduzca un número con dos decimales como máximo. Debe ser igual o mayor a la "Cantidad Real Consumida"</t>
        </r>
      </text>
    </comment>
    <comment ref="E342" authorId="1" shapeId="0" xr:uid="{8345FC82-1530-4876-9CE3-95C11EAE8964}">
      <text>
        <r>
          <rPr>
            <sz val="11"/>
            <color theme="1"/>
            <rFont val="Calibri"/>
            <family val="2"/>
            <scheme val="minor"/>
          </rPr>
          <t>Introduzca un número con dos decimales como máximo</t>
        </r>
      </text>
    </comment>
    <comment ref="F342" authorId="1" shapeId="0" xr:uid="{79189EDA-4D0C-47D2-83E3-9E78677D130C}">
      <text>
        <r>
          <rPr>
            <sz val="11"/>
            <color theme="1"/>
            <rFont val="Calibri"/>
            <family val="2"/>
            <scheme val="minor"/>
          </rPr>
          <t>Monto calculado automáticamente por el sistema</t>
        </r>
      </text>
    </comment>
    <comment ref="A366" authorId="1" shapeId="0" xr:uid="{0847CFD3-E9A9-4DA8-90B8-E3C9F3331435}">
      <text>
        <r>
          <rPr>
            <sz val="11"/>
            <color theme="1"/>
            <rFont val="Calibri"/>
            <family val="2"/>
            <scheme val="minor"/>
          </rPr>
          <t>Introducir un texto con el nombre o referencia de la contratación</t>
        </r>
      </text>
    </comment>
    <comment ref="B366" authorId="1" shapeId="0" xr:uid="{14E19330-891D-4A68-AE5D-A24FD52E0B2E}">
      <text>
        <r>
          <rPr>
            <sz val="11"/>
            <color theme="1"/>
            <rFont val="Calibri"/>
            <family val="2"/>
            <scheme val="minor"/>
          </rPr>
          <t>Introduzca un texto con la finalidad de la contratación</t>
        </r>
      </text>
    </comment>
    <comment ref="D366" authorId="1" shapeId="0" xr:uid="{E9C0FF86-E721-4678-8052-FDEFEB0A22DB}">
      <text>
        <r>
          <rPr>
            <sz val="11"/>
            <color theme="1"/>
            <rFont val="Calibri"/>
            <family val="2"/>
            <scheme val="minor"/>
          </rPr>
          <t>Seleccione el tipo de procedimiento</t>
        </r>
      </text>
    </comment>
    <comment ref="E366" authorId="1" shapeId="0" xr:uid="{84D7F343-4BF2-4A58-A159-7E6512DBAE97}">
      <text>
        <r>
          <rPr>
            <sz val="11"/>
            <color theme="1"/>
            <rFont val="Calibri"/>
            <family val="2"/>
            <scheme val="minor"/>
          </rPr>
          <t>Seleccione un valor de la lista</t>
        </r>
      </text>
    </comment>
    <comment ref="F366" authorId="1" shapeId="0" xr:uid="{57F1777A-0C14-4B20-A0DE-871AF89D12F7}">
      <text>
        <r>
          <rPr>
            <sz val="11"/>
            <color theme="1"/>
            <rFont val="Calibri"/>
            <family val="2"/>
            <scheme val="minor"/>
          </rPr>
          <t>Introduzca el código SNIP</t>
        </r>
      </text>
    </comment>
    <comment ref="F367" authorId="1" shapeId="0" xr:uid="{7BB6DD1E-E5F9-4C3B-819B-9D1FFD6D421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8" authorId="1" shapeId="0" xr:uid="{053CF87D-2827-44B6-AA85-6820B1F1FEBB}">
      <text/>
    </comment>
    <comment ref="F369" authorId="1" shapeId="0" xr:uid="{07FFB871-C067-4459-A5FA-E0115CD35022}">
      <text/>
    </comment>
    <comment ref="F370" authorId="1" shapeId="0" xr:uid="{11BB490B-16B5-472F-885A-DA242550FC2A}">
      <text/>
    </comment>
    <comment ref="A372" authorId="1" shapeId="0" xr:uid="{352488C3-1C53-4DB7-A4F2-7798B2707CED}">
      <text>
        <r>
          <rPr>
            <sz val="11"/>
            <color theme="1"/>
            <rFont val="Calibri"/>
            <family val="2"/>
            <scheme val="minor"/>
          </rPr>
          <t>Introduzca un codigo UNSPSC</t>
        </r>
      </text>
    </comment>
    <comment ref="B372" authorId="1" shapeId="0" xr:uid="{354AF702-7B9A-4284-876F-5976DB02E580}">
      <text>
        <r>
          <rPr>
            <sz val="11"/>
            <color theme="1"/>
            <rFont val="Calibri"/>
            <family val="2"/>
            <scheme val="minor"/>
          </rPr>
          <t>Descripción calculada automáticamente a partir de código del artículo</t>
        </r>
      </text>
    </comment>
    <comment ref="D372" authorId="1" shapeId="0" xr:uid="{E1190F6D-6626-407F-901D-48BE95E46677}">
      <text>
        <r>
          <rPr>
            <sz val="11"/>
            <color theme="1"/>
            <rFont val="Calibri"/>
            <family val="2"/>
            <scheme val="minor"/>
          </rPr>
          <t>Introduzca un número con dos decimales como máximo. Debe ser igual o mayor a la "Cantidad Real Consumida"</t>
        </r>
      </text>
    </comment>
    <comment ref="E372" authorId="1" shapeId="0" xr:uid="{93FD9F81-D14D-4819-B4BD-A852611D55EA}">
      <text>
        <r>
          <rPr>
            <sz val="11"/>
            <color theme="1"/>
            <rFont val="Calibri"/>
            <family val="2"/>
            <scheme val="minor"/>
          </rPr>
          <t>Introduzca un número con dos decimales como máximo</t>
        </r>
      </text>
    </comment>
    <comment ref="F372" authorId="1" shapeId="0" xr:uid="{CF49B810-6D04-4688-8252-1C04AD03C94C}">
      <text>
        <r>
          <rPr>
            <sz val="11"/>
            <color theme="1"/>
            <rFont val="Calibri"/>
            <family val="2"/>
            <scheme val="minor"/>
          </rPr>
          <t>Monto calculado automáticamente por el sistema</t>
        </r>
      </text>
    </comment>
    <comment ref="A394" authorId="1" shapeId="0" xr:uid="{A69FF358-5CD8-436A-BDC0-4E90615EC059}">
      <text>
        <r>
          <rPr>
            <sz val="11"/>
            <color theme="1"/>
            <rFont val="Calibri"/>
            <family val="2"/>
            <scheme val="minor"/>
          </rPr>
          <t>Introducir un texto con el nombre o referencia de la contratación</t>
        </r>
      </text>
    </comment>
    <comment ref="B394" authorId="1" shapeId="0" xr:uid="{E34EB329-CDC7-44D3-B4C6-CE9DF8D80819}">
      <text>
        <r>
          <rPr>
            <sz val="11"/>
            <color theme="1"/>
            <rFont val="Calibri"/>
            <family val="2"/>
            <scheme val="minor"/>
          </rPr>
          <t>Introduzca un texto con la finalidad de la contratación</t>
        </r>
      </text>
    </comment>
    <comment ref="D394" authorId="1" shapeId="0" xr:uid="{2D93E5BE-D55D-460A-8FAD-6826E54E4408}">
      <text>
        <r>
          <rPr>
            <sz val="11"/>
            <color theme="1"/>
            <rFont val="Calibri"/>
            <family val="2"/>
            <scheme val="minor"/>
          </rPr>
          <t>Seleccione el tipo de procedimiento</t>
        </r>
      </text>
    </comment>
    <comment ref="E394" authorId="1" shapeId="0" xr:uid="{ED7143C4-174D-40F6-8218-8188AD110F53}">
      <text>
        <r>
          <rPr>
            <sz val="11"/>
            <color theme="1"/>
            <rFont val="Calibri"/>
            <family val="2"/>
            <scheme val="minor"/>
          </rPr>
          <t>Seleccione un valor de la lista</t>
        </r>
      </text>
    </comment>
    <comment ref="F394" authorId="1" shapeId="0" xr:uid="{E09E67BC-3C37-4F96-963D-753A0DB17CF3}">
      <text>
        <r>
          <rPr>
            <sz val="11"/>
            <color theme="1"/>
            <rFont val="Calibri"/>
            <family val="2"/>
            <scheme val="minor"/>
          </rPr>
          <t>Introduzca el código SNIP</t>
        </r>
      </text>
    </comment>
    <comment ref="F395" authorId="1" shapeId="0" xr:uid="{8C87237F-3195-4073-A898-22615CBDEC2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1" shapeId="0" xr:uid="{6B440521-CD41-4094-92DF-3D9EF32333A7}">
      <text/>
    </comment>
    <comment ref="F397" authorId="1" shapeId="0" xr:uid="{6BA06B4B-72CB-4C9E-ABEF-E006232C3094}">
      <text/>
    </comment>
    <comment ref="F398" authorId="1" shapeId="0" xr:uid="{B058D94B-A57A-4046-BFA0-039825ABB600}">
      <text/>
    </comment>
    <comment ref="A400" authorId="1" shapeId="0" xr:uid="{745ED7D7-1FBF-4455-A347-DAB96EA8C186}">
      <text>
        <r>
          <rPr>
            <sz val="11"/>
            <color theme="1"/>
            <rFont val="Calibri"/>
            <family val="2"/>
            <scheme val="minor"/>
          </rPr>
          <t>Introduzca un codigo UNSPSC</t>
        </r>
      </text>
    </comment>
    <comment ref="B400" authorId="1" shapeId="0" xr:uid="{038704E7-0E30-4B70-B092-43291D5C07FA}">
      <text>
        <r>
          <rPr>
            <sz val="11"/>
            <color theme="1"/>
            <rFont val="Calibri"/>
            <family val="2"/>
            <scheme val="minor"/>
          </rPr>
          <t>Descripción calculada automáticamente a partir de código del artículo</t>
        </r>
      </text>
    </comment>
    <comment ref="D400" authorId="1" shapeId="0" xr:uid="{778F68F4-A402-4FC7-B383-F3364731BE35}">
      <text>
        <r>
          <rPr>
            <sz val="11"/>
            <color theme="1"/>
            <rFont val="Calibri"/>
            <family val="2"/>
            <scheme val="minor"/>
          </rPr>
          <t>Introduzca un número con dos decimales como máximo. Debe ser igual o mayor a la "Cantidad Real Consumida"</t>
        </r>
      </text>
    </comment>
    <comment ref="E400" authorId="1" shapeId="0" xr:uid="{4530B809-18E2-4420-B124-117E37279144}">
      <text>
        <r>
          <rPr>
            <sz val="11"/>
            <color theme="1"/>
            <rFont val="Calibri"/>
            <family val="2"/>
            <scheme val="minor"/>
          </rPr>
          <t>Introduzca un número con dos decimales como máximo</t>
        </r>
      </text>
    </comment>
    <comment ref="F400" authorId="1" shapeId="0" xr:uid="{9DFF5768-05B9-4436-A42D-302E6C3C04FA}">
      <text>
        <r>
          <rPr>
            <sz val="11"/>
            <color theme="1"/>
            <rFont val="Calibri"/>
            <family val="2"/>
            <scheme val="minor"/>
          </rPr>
          <t>Monto calculado automáticamente por el sistema</t>
        </r>
      </text>
    </comment>
    <comment ref="A431" authorId="1" shapeId="0" xr:uid="{1CB164A0-4D88-4D1D-A6DC-DF439EAF67DC}">
      <text>
        <r>
          <rPr>
            <sz val="11"/>
            <color theme="1"/>
            <rFont val="Calibri"/>
            <family val="2"/>
            <scheme val="minor"/>
          </rPr>
          <t>Introducir un texto con el nombre o referencia de la contratación</t>
        </r>
      </text>
    </comment>
    <comment ref="B431" authorId="1" shapeId="0" xr:uid="{235F4DC4-DE2B-46E7-AD61-C09BC895D5BD}">
      <text>
        <r>
          <rPr>
            <sz val="11"/>
            <color theme="1"/>
            <rFont val="Calibri"/>
            <family val="2"/>
            <scheme val="minor"/>
          </rPr>
          <t>Introduzca un texto con la finalidad de la contratación</t>
        </r>
      </text>
    </comment>
    <comment ref="D431" authorId="1" shapeId="0" xr:uid="{DE3D6088-33DE-4993-8A72-0DFB99B482C5}">
      <text>
        <r>
          <rPr>
            <sz val="11"/>
            <color theme="1"/>
            <rFont val="Calibri"/>
            <family val="2"/>
            <scheme val="minor"/>
          </rPr>
          <t>Seleccione el tipo de procedimiento</t>
        </r>
      </text>
    </comment>
    <comment ref="E431" authorId="1" shapeId="0" xr:uid="{3900D295-6989-4EF7-BF98-F69C470F5F63}">
      <text>
        <r>
          <rPr>
            <sz val="11"/>
            <color theme="1"/>
            <rFont val="Calibri"/>
            <family val="2"/>
            <scheme val="minor"/>
          </rPr>
          <t>Seleccione un valor de la lista</t>
        </r>
      </text>
    </comment>
    <comment ref="F431" authorId="1" shapeId="0" xr:uid="{76CB150F-A1A0-4EEC-9D4D-3C05C7B7533F}">
      <text>
        <r>
          <rPr>
            <sz val="11"/>
            <color theme="1"/>
            <rFont val="Calibri"/>
            <family val="2"/>
            <scheme val="minor"/>
          </rPr>
          <t>Introduzca el código SNIP</t>
        </r>
      </text>
    </comment>
    <comment ref="F432" authorId="1" shapeId="0" xr:uid="{723710F8-ADAD-47EF-864F-17EB06E9267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3" authorId="1" shapeId="0" xr:uid="{05523A89-561A-4163-911D-9D502B4DD6D9}">
      <text/>
    </comment>
    <comment ref="F434" authorId="1" shapeId="0" xr:uid="{BE734525-2E8D-4CAA-AC91-960F7A0A3734}">
      <text/>
    </comment>
    <comment ref="F435" authorId="1" shapeId="0" xr:uid="{0DFE0D34-CD93-45E9-9AC0-DCD8EAD65686}">
      <text/>
    </comment>
    <comment ref="A437" authorId="1" shapeId="0" xr:uid="{7A2BB020-55A8-4299-8959-8682B2E601F5}">
      <text>
        <r>
          <rPr>
            <sz val="11"/>
            <color theme="1"/>
            <rFont val="Calibri"/>
            <family val="2"/>
            <scheme val="minor"/>
          </rPr>
          <t>Introduzca un codigo UNSPSC</t>
        </r>
      </text>
    </comment>
    <comment ref="B437" authorId="1" shapeId="0" xr:uid="{79A0AB5F-75BD-41BE-BFDF-5FF36BC159C3}">
      <text>
        <r>
          <rPr>
            <sz val="11"/>
            <color theme="1"/>
            <rFont val="Calibri"/>
            <family val="2"/>
            <scheme val="minor"/>
          </rPr>
          <t>Descripción calculada automáticamente a partir de código del artículo</t>
        </r>
      </text>
    </comment>
    <comment ref="D437" authorId="1" shapeId="0" xr:uid="{939A9575-C665-4CFA-AC42-97F2E072184B}">
      <text>
        <r>
          <rPr>
            <sz val="11"/>
            <color theme="1"/>
            <rFont val="Calibri"/>
            <family val="2"/>
            <scheme val="minor"/>
          </rPr>
          <t>Introduzca un número con dos decimales como máximo. Debe ser igual o mayor a la "Cantidad Real Consumida"</t>
        </r>
      </text>
    </comment>
    <comment ref="E437" authorId="1" shapeId="0" xr:uid="{CDB0BF94-74C0-45FB-B790-191A5EAA2C27}">
      <text>
        <r>
          <rPr>
            <sz val="11"/>
            <color theme="1"/>
            <rFont val="Calibri"/>
            <family val="2"/>
            <scheme val="minor"/>
          </rPr>
          <t>Introduzca un número con dos decimales como máximo</t>
        </r>
      </text>
    </comment>
    <comment ref="F437" authorId="1" shapeId="0" xr:uid="{61AD4F21-D7D0-46B9-82E5-43C8AEF87D2E}">
      <text>
        <r>
          <rPr>
            <sz val="11"/>
            <color theme="1"/>
            <rFont val="Calibri"/>
            <family val="2"/>
            <scheme val="minor"/>
          </rPr>
          <t>Monto calculado automáticamente por el sistema</t>
        </r>
      </text>
    </comment>
    <comment ref="A467" authorId="1" shapeId="0" xr:uid="{100B2587-B5C4-49D7-8C6F-F43D3807FEA6}">
      <text>
        <r>
          <rPr>
            <sz val="11"/>
            <color theme="1"/>
            <rFont val="Calibri"/>
            <family val="2"/>
            <scheme val="minor"/>
          </rPr>
          <t>Introducir un texto con el nombre o referencia de la contratación</t>
        </r>
      </text>
    </comment>
    <comment ref="B467" authorId="1" shapeId="0" xr:uid="{2D6D152A-23A7-4D4D-8E31-1A16AE757A7F}">
      <text>
        <r>
          <rPr>
            <sz val="11"/>
            <color theme="1"/>
            <rFont val="Calibri"/>
            <family val="2"/>
            <scheme val="minor"/>
          </rPr>
          <t>Introduzca un texto con la finalidad de la contratación</t>
        </r>
      </text>
    </comment>
    <comment ref="D467" authorId="1" shapeId="0" xr:uid="{EEB36129-435D-4F59-AEE8-219D52294ABF}">
      <text>
        <r>
          <rPr>
            <sz val="11"/>
            <color theme="1"/>
            <rFont val="Calibri"/>
            <family val="2"/>
            <scheme val="minor"/>
          </rPr>
          <t>Seleccione el tipo de procedimiento</t>
        </r>
      </text>
    </comment>
    <comment ref="E467" authorId="1" shapeId="0" xr:uid="{006A1285-A437-495B-ADE1-B46B410BABC2}">
      <text>
        <r>
          <rPr>
            <sz val="11"/>
            <color theme="1"/>
            <rFont val="Calibri"/>
            <family val="2"/>
            <scheme val="minor"/>
          </rPr>
          <t>Seleccione un valor de la lista</t>
        </r>
      </text>
    </comment>
    <comment ref="F467" authorId="1" shapeId="0" xr:uid="{5D35533E-8BF9-48C2-A086-B4B655A659CB}">
      <text>
        <r>
          <rPr>
            <sz val="11"/>
            <color theme="1"/>
            <rFont val="Calibri"/>
            <family val="2"/>
            <scheme val="minor"/>
          </rPr>
          <t>Introduzca el código SNIP</t>
        </r>
      </text>
    </comment>
    <comment ref="F468" authorId="1" shapeId="0" xr:uid="{22C5F2D6-EB74-4A76-8CCD-54D4ACEEF2F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9" authorId="1" shapeId="0" xr:uid="{E199B6AC-C132-4E40-9F88-1A6A55ECC994}">
      <text/>
    </comment>
    <comment ref="F470" authorId="1" shapeId="0" xr:uid="{2088DECD-3918-4161-996A-8A27FE169849}">
      <text/>
    </comment>
    <comment ref="F471" authorId="1" shapeId="0" xr:uid="{1570472A-4CF4-4EA4-B19F-B245C795083B}">
      <text/>
    </comment>
    <comment ref="A473" authorId="1" shapeId="0" xr:uid="{25A130D7-3721-485B-A045-07DE6DFA97E1}">
      <text>
        <r>
          <rPr>
            <sz val="11"/>
            <color theme="1"/>
            <rFont val="Calibri"/>
            <family val="2"/>
            <scheme val="minor"/>
          </rPr>
          <t>Introduzca un codigo UNSPSC</t>
        </r>
      </text>
    </comment>
    <comment ref="B473" authorId="1" shapeId="0" xr:uid="{B4CC1817-5E15-43C0-A87A-EA823438D4F4}">
      <text>
        <r>
          <rPr>
            <sz val="11"/>
            <color theme="1"/>
            <rFont val="Calibri"/>
            <family val="2"/>
            <scheme val="minor"/>
          </rPr>
          <t>Descripción calculada automáticamente a partir de código del artículo</t>
        </r>
      </text>
    </comment>
    <comment ref="D473" authorId="1" shapeId="0" xr:uid="{B2B783C3-C92C-4DA1-9EA9-D81599ACD185}">
      <text>
        <r>
          <rPr>
            <sz val="11"/>
            <color theme="1"/>
            <rFont val="Calibri"/>
            <family val="2"/>
            <scheme val="minor"/>
          </rPr>
          <t>Introduzca un número con dos decimales como máximo. Debe ser igual o mayor a la "Cantidad Real Consumida"</t>
        </r>
      </text>
    </comment>
    <comment ref="E473" authorId="1" shapeId="0" xr:uid="{304ECD31-F995-4209-8756-D11CD97CE9D5}">
      <text>
        <r>
          <rPr>
            <sz val="11"/>
            <color theme="1"/>
            <rFont val="Calibri"/>
            <family val="2"/>
            <scheme val="minor"/>
          </rPr>
          <t>Introduzca un número con dos decimales como máximo</t>
        </r>
      </text>
    </comment>
    <comment ref="F473" authorId="1" shapeId="0" xr:uid="{5DD8BB8F-4A93-494A-AA3C-0A5126668841}">
      <text>
        <r>
          <rPr>
            <sz val="11"/>
            <color theme="1"/>
            <rFont val="Calibri"/>
            <family val="2"/>
            <scheme val="minor"/>
          </rPr>
          <t>Monto calculado automáticamente por el sistema</t>
        </r>
      </text>
    </comment>
    <comment ref="A503" authorId="1" shapeId="0" xr:uid="{954F8B3D-A92C-4DB1-8CB0-AB71059D7317}">
      <text>
        <r>
          <rPr>
            <sz val="11"/>
            <color theme="1"/>
            <rFont val="Calibri"/>
            <family val="2"/>
            <scheme val="minor"/>
          </rPr>
          <t>Introducir un texto con el nombre o referencia de la contratación</t>
        </r>
      </text>
    </comment>
    <comment ref="B503" authorId="1" shapeId="0" xr:uid="{BD3A140E-6974-466A-AA8F-757B8BD7469D}">
      <text>
        <r>
          <rPr>
            <sz val="11"/>
            <color theme="1"/>
            <rFont val="Calibri"/>
            <family val="2"/>
            <scheme val="minor"/>
          </rPr>
          <t>Introduzca un texto con la finalidad de la contratación</t>
        </r>
      </text>
    </comment>
    <comment ref="D503" authorId="1" shapeId="0" xr:uid="{F07A0522-44B8-438D-BFED-0DF044F82C84}">
      <text>
        <r>
          <rPr>
            <sz val="11"/>
            <color theme="1"/>
            <rFont val="Calibri"/>
            <family val="2"/>
            <scheme val="minor"/>
          </rPr>
          <t>Seleccione el tipo de procedimiento</t>
        </r>
      </text>
    </comment>
    <comment ref="E503" authorId="1" shapeId="0" xr:uid="{22C735C2-E54A-4994-A60A-CA633B7803EA}">
      <text>
        <r>
          <rPr>
            <sz val="11"/>
            <color theme="1"/>
            <rFont val="Calibri"/>
            <family val="2"/>
            <scheme val="minor"/>
          </rPr>
          <t>Seleccione un valor de la lista</t>
        </r>
      </text>
    </comment>
    <comment ref="F503" authorId="1" shapeId="0" xr:uid="{438004F2-4E27-4F54-8040-A38255FE0540}">
      <text>
        <r>
          <rPr>
            <sz val="11"/>
            <color theme="1"/>
            <rFont val="Calibri"/>
            <family val="2"/>
            <scheme val="minor"/>
          </rPr>
          <t>Introduzca el código SNIP</t>
        </r>
      </text>
    </comment>
    <comment ref="F504" authorId="1" shapeId="0" xr:uid="{D9C33986-AA23-44BB-859A-5FE06FA1D3A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5" authorId="1" shapeId="0" xr:uid="{F99F5A79-545C-4A2A-B8CA-ABE1CCCF8C16}">
      <text/>
    </comment>
    <comment ref="F506" authorId="1" shapeId="0" xr:uid="{0E5CA906-19CA-4046-98B2-393D60237515}">
      <text/>
    </comment>
    <comment ref="F507" authorId="1" shapeId="0" xr:uid="{F7C45A40-F6D2-4ACC-AF45-1F499347A165}">
      <text/>
    </comment>
    <comment ref="A509" authorId="1" shapeId="0" xr:uid="{47868D40-59C2-49E8-813D-52F79D77D8B3}">
      <text>
        <r>
          <rPr>
            <sz val="11"/>
            <color theme="1"/>
            <rFont val="Calibri"/>
            <family val="2"/>
            <scheme val="minor"/>
          </rPr>
          <t>Introduzca un codigo UNSPSC</t>
        </r>
      </text>
    </comment>
    <comment ref="B509" authorId="1" shapeId="0" xr:uid="{2ABC4DF1-D43D-4C17-ABEA-9241BD59018F}">
      <text>
        <r>
          <rPr>
            <sz val="11"/>
            <color theme="1"/>
            <rFont val="Calibri"/>
            <family val="2"/>
            <scheme val="minor"/>
          </rPr>
          <t>Descripción calculada automáticamente a partir de código del artículo</t>
        </r>
      </text>
    </comment>
    <comment ref="D509" authorId="1" shapeId="0" xr:uid="{A3ABB76D-741C-4D4A-96EC-1BB98563AD5A}">
      <text>
        <r>
          <rPr>
            <sz val="11"/>
            <color theme="1"/>
            <rFont val="Calibri"/>
            <family val="2"/>
            <scheme val="minor"/>
          </rPr>
          <t>Introduzca un número con dos decimales como máximo. Debe ser igual o mayor a la "Cantidad Real Consumida"</t>
        </r>
      </text>
    </comment>
    <comment ref="E509" authorId="1" shapeId="0" xr:uid="{E4E4B5FC-0E53-42C9-98A1-114A0607D09E}">
      <text>
        <r>
          <rPr>
            <sz val="11"/>
            <color theme="1"/>
            <rFont val="Calibri"/>
            <family val="2"/>
            <scheme val="minor"/>
          </rPr>
          <t>Introduzca un número con dos decimales como máximo</t>
        </r>
      </text>
    </comment>
    <comment ref="F509" authorId="1" shapeId="0" xr:uid="{597EBE47-CC5F-4C00-A2A6-786E4774290C}">
      <text>
        <r>
          <rPr>
            <sz val="11"/>
            <color theme="1"/>
            <rFont val="Calibri"/>
            <family val="2"/>
            <scheme val="minor"/>
          </rPr>
          <t>Monto calculado automáticamente por el sistema</t>
        </r>
      </text>
    </comment>
    <comment ref="A538" authorId="1" shapeId="0" xr:uid="{654B7405-D63E-441F-AE95-EF37CFF333E5}">
      <text>
        <r>
          <rPr>
            <sz val="11"/>
            <color theme="1"/>
            <rFont val="Calibri"/>
            <family val="2"/>
            <scheme val="minor"/>
          </rPr>
          <t>Introducir un texto con el nombre o referencia de la contratación</t>
        </r>
      </text>
    </comment>
    <comment ref="B538" authorId="1" shapeId="0" xr:uid="{B4988AEB-1C4E-4032-9E8F-D8FA4058A935}">
      <text>
        <r>
          <rPr>
            <sz val="11"/>
            <color theme="1"/>
            <rFont val="Calibri"/>
            <family val="2"/>
            <scheme val="minor"/>
          </rPr>
          <t>Introduzca un texto con la finalidad de la contratación</t>
        </r>
      </text>
    </comment>
    <comment ref="D538" authorId="1" shapeId="0" xr:uid="{BA9D8C44-343F-43E6-8277-9E6B3AA41C06}">
      <text>
        <r>
          <rPr>
            <sz val="11"/>
            <color theme="1"/>
            <rFont val="Calibri"/>
            <family val="2"/>
            <scheme val="minor"/>
          </rPr>
          <t>Seleccione el tipo de procedimiento</t>
        </r>
      </text>
    </comment>
    <comment ref="E538" authorId="1" shapeId="0" xr:uid="{ECD4121E-848E-4EFE-8382-C621F7C056F9}">
      <text>
        <r>
          <rPr>
            <sz val="11"/>
            <color theme="1"/>
            <rFont val="Calibri"/>
            <family val="2"/>
            <scheme val="minor"/>
          </rPr>
          <t>Seleccione un valor de la lista</t>
        </r>
      </text>
    </comment>
    <comment ref="F538" authorId="1" shapeId="0" xr:uid="{10AC50B3-7828-4E6A-9AE8-BBC5CDE24D1C}">
      <text>
        <r>
          <rPr>
            <sz val="11"/>
            <color theme="1"/>
            <rFont val="Calibri"/>
            <family val="2"/>
            <scheme val="minor"/>
          </rPr>
          <t>Introduzca el código SNIP</t>
        </r>
      </text>
    </comment>
    <comment ref="F539" authorId="1" shapeId="0" xr:uid="{9C2C373F-F6BE-4474-A200-5BC304590D0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0" authorId="1" shapeId="0" xr:uid="{5F32FD56-7B89-4606-8751-B0DB9CEA6CE5}">
      <text/>
    </comment>
    <comment ref="F541" authorId="1" shapeId="0" xr:uid="{A91AD2CD-B260-4A7B-A617-748E5F09F0A2}">
      <text/>
    </comment>
    <comment ref="F542" authorId="1" shapeId="0" xr:uid="{E8BD42AB-BEB5-480C-8C6A-D069EA85C5E0}">
      <text/>
    </comment>
    <comment ref="A544" authorId="1" shapeId="0" xr:uid="{32E319D9-1FB4-42B0-AF0D-C44FE76B8A7C}">
      <text>
        <r>
          <rPr>
            <sz val="11"/>
            <color theme="1"/>
            <rFont val="Calibri"/>
            <family val="2"/>
            <scheme val="minor"/>
          </rPr>
          <t>Introduzca un codigo UNSPSC</t>
        </r>
      </text>
    </comment>
    <comment ref="B544" authorId="1" shapeId="0" xr:uid="{5742AC6A-0CE1-4E62-9F4B-93709311F337}">
      <text>
        <r>
          <rPr>
            <sz val="11"/>
            <color theme="1"/>
            <rFont val="Calibri"/>
            <family val="2"/>
            <scheme val="minor"/>
          </rPr>
          <t>Descripción calculada automáticamente a partir de código del artículo</t>
        </r>
      </text>
    </comment>
    <comment ref="D544" authorId="1" shapeId="0" xr:uid="{A2F294DC-0C60-44A3-AE68-16BD7C1D27AF}">
      <text>
        <r>
          <rPr>
            <sz val="11"/>
            <color theme="1"/>
            <rFont val="Calibri"/>
            <family val="2"/>
            <scheme val="minor"/>
          </rPr>
          <t>Introduzca un número con dos decimales como máximo. Debe ser igual o mayor a la "Cantidad Real Consumida"</t>
        </r>
      </text>
    </comment>
    <comment ref="E544" authorId="1" shapeId="0" xr:uid="{BE9C9731-0FA2-46BB-B715-675755DBBDF8}">
      <text>
        <r>
          <rPr>
            <sz val="11"/>
            <color theme="1"/>
            <rFont val="Calibri"/>
            <family val="2"/>
            <scheme val="minor"/>
          </rPr>
          <t>Introduzca un número con dos decimales como máximo</t>
        </r>
      </text>
    </comment>
    <comment ref="F544" authorId="1" shapeId="0" xr:uid="{5134DA5C-EE7B-4B99-B8E9-2EC9B89E7733}">
      <text>
        <r>
          <rPr>
            <sz val="11"/>
            <color theme="1"/>
            <rFont val="Calibri"/>
            <family val="2"/>
            <scheme val="minor"/>
          </rPr>
          <t>Monto calculado automáticamente por el sistema</t>
        </r>
      </text>
    </comment>
    <comment ref="A568" authorId="1" shapeId="0" xr:uid="{2622ECC0-1ED6-4FEC-B483-A4D6714C2084}">
      <text>
        <r>
          <rPr>
            <sz val="11"/>
            <color theme="1"/>
            <rFont val="Calibri"/>
            <family val="2"/>
            <scheme val="minor"/>
          </rPr>
          <t>Introducir un texto con el nombre o referencia de la contratación</t>
        </r>
      </text>
    </comment>
    <comment ref="B568" authorId="1" shapeId="0" xr:uid="{2C794F5B-2F30-4692-AEFA-1132E83CBA07}">
      <text>
        <r>
          <rPr>
            <sz val="11"/>
            <color theme="1"/>
            <rFont val="Calibri"/>
            <family val="2"/>
            <scheme val="minor"/>
          </rPr>
          <t>Introduzca un texto con la finalidad de la contratación</t>
        </r>
      </text>
    </comment>
    <comment ref="D568" authorId="1" shapeId="0" xr:uid="{E0EC31C9-D3B7-4C2A-925D-8D6F4F6D414E}">
      <text>
        <r>
          <rPr>
            <sz val="11"/>
            <color theme="1"/>
            <rFont val="Calibri"/>
            <family val="2"/>
            <scheme val="minor"/>
          </rPr>
          <t>Seleccione el tipo de procedimiento</t>
        </r>
      </text>
    </comment>
    <comment ref="E568" authorId="1" shapeId="0" xr:uid="{CCAD1A93-3850-4D2C-93E1-F55663E7A7EF}">
      <text>
        <r>
          <rPr>
            <sz val="11"/>
            <color theme="1"/>
            <rFont val="Calibri"/>
            <family val="2"/>
            <scheme val="minor"/>
          </rPr>
          <t>Seleccione un valor de la lista</t>
        </r>
      </text>
    </comment>
    <comment ref="F568" authorId="1" shapeId="0" xr:uid="{1F818638-31B2-45E4-8471-E003E232235E}">
      <text>
        <r>
          <rPr>
            <sz val="11"/>
            <color theme="1"/>
            <rFont val="Calibri"/>
            <family val="2"/>
            <scheme val="minor"/>
          </rPr>
          <t>Introduzca el código SNIP</t>
        </r>
      </text>
    </comment>
    <comment ref="F569" authorId="1" shapeId="0" xr:uid="{248276DE-61B2-4D98-97BA-05C82DF828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0" authorId="1" shapeId="0" xr:uid="{9FD61FD0-330D-4A1C-A86E-B27510C9D05B}">
      <text/>
    </comment>
    <comment ref="F571" authorId="1" shapeId="0" xr:uid="{E6AEF646-82F7-45A9-9371-34EF0EFC38A4}">
      <text/>
    </comment>
    <comment ref="F572" authorId="1" shapeId="0" xr:uid="{0611C39B-76CC-4B52-BB18-6590F9D0986C}">
      <text/>
    </comment>
    <comment ref="A574" authorId="1" shapeId="0" xr:uid="{0AC59434-D3DE-4558-BEAF-F66CD45F2F65}">
      <text>
        <r>
          <rPr>
            <sz val="11"/>
            <color theme="1"/>
            <rFont val="Calibri"/>
            <family val="2"/>
            <scheme val="minor"/>
          </rPr>
          <t>Introduzca un codigo UNSPSC</t>
        </r>
      </text>
    </comment>
    <comment ref="B574" authorId="1" shapeId="0" xr:uid="{3D905511-E7EE-4D18-BD66-21071E9959C8}">
      <text>
        <r>
          <rPr>
            <sz val="11"/>
            <color theme="1"/>
            <rFont val="Calibri"/>
            <family val="2"/>
            <scheme val="minor"/>
          </rPr>
          <t>Descripción calculada automáticamente a partir de código del artículo</t>
        </r>
      </text>
    </comment>
    <comment ref="D574" authorId="1" shapeId="0" xr:uid="{1465C1DA-661B-4948-91F0-3E223EF48BAE}">
      <text>
        <r>
          <rPr>
            <sz val="11"/>
            <color theme="1"/>
            <rFont val="Calibri"/>
            <family val="2"/>
            <scheme val="minor"/>
          </rPr>
          <t>Introduzca un número con dos decimales como máximo. Debe ser igual o mayor a la "Cantidad Real Consumida"</t>
        </r>
      </text>
    </comment>
    <comment ref="E574" authorId="1" shapeId="0" xr:uid="{34C8EAEB-F3DE-410B-8FE6-643990D17132}">
      <text>
        <r>
          <rPr>
            <sz val="11"/>
            <color theme="1"/>
            <rFont val="Calibri"/>
            <family val="2"/>
            <scheme val="minor"/>
          </rPr>
          <t>Introduzca un número con dos decimales como máximo</t>
        </r>
      </text>
    </comment>
    <comment ref="F574" authorId="1" shapeId="0" xr:uid="{30D158CA-CC49-431B-8803-A4B6D50FC536}">
      <text>
        <r>
          <rPr>
            <sz val="11"/>
            <color theme="1"/>
            <rFont val="Calibri"/>
            <family val="2"/>
            <scheme val="minor"/>
          </rPr>
          <t>Monto calculado automáticamente por el sistema</t>
        </r>
      </text>
    </comment>
    <comment ref="A598" authorId="1" shapeId="0" xr:uid="{77419CEF-DCD1-4F44-A942-7F3A0281A424}">
      <text>
        <r>
          <rPr>
            <sz val="11"/>
            <color theme="1"/>
            <rFont val="Calibri"/>
            <family val="2"/>
            <scheme val="minor"/>
          </rPr>
          <t>Introducir un texto con el nombre o referencia de la contratación</t>
        </r>
      </text>
    </comment>
    <comment ref="B598" authorId="1" shapeId="0" xr:uid="{B8AC6207-13F7-4B1B-B1B1-80C5373930C7}">
      <text>
        <r>
          <rPr>
            <sz val="11"/>
            <color theme="1"/>
            <rFont val="Calibri"/>
            <family val="2"/>
            <scheme val="minor"/>
          </rPr>
          <t>Introduzca un texto con la finalidad de la contratación</t>
        </r>
      </text>
    </comment>
    <comment ref="D598" authorId="1" shapeId="0" xr:uid="{AF38D08F-7306-4843-90A7-CECE6ABBBF65}">
      <text>
        <r>
          <rPr>
            <sz val="11"/>
            <color theme="1"/>
            <rFont val="Calibri"/>
            <family val="2"/>
            <scheme val="minor"/>
          </rPr>
          <t>Seleccione el tipo de procedimiento</t>
        </r>
      </text>
    </comment>
    <comment ref="E598" authorId="1" shapeId="0" xr:uid="{1D585C22-D79A-4E73-B098-E01D096C7616}">
      <text>
        <r>
          <rPr>
            <sz val="11"/>
            <color theme="1"/>
            <rFont val="Calibri"/>
            <family val="2"/>
            <scheme val="minor"/>
          </rPr>
          <t>Seleccione un valor de la lista</t>
        </r>
      </text>
    </comment>
    <comment ref="F598" authorId="1" shapeId="0" xr:uid="{A3F32015-D783-49E0-9CB1-0B18CD5A1FA8}">
      <text>
        <r>
          <rPr>
            <sz val="11"/>
            <color theme="1"/>
            <rFont val="Calibri"/>
            <family val="2"/>
            <scheme val="minor"/>
          </rPr>
          <t>Introduzca el código SNIP</t>
        </r>
      </text>
    </comment>
    <comment ref="F599" authorId="1" shapeId="0" xr:uid="{3521E40F-CDB5-4A7F-8C2A-02B4FF137C3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0" authorId="1" shapeId="0" xr:uid="{C4C6E01D-85E7-4872-AE1B-A9A5E59022C4}">
      <text/>
    </comment>
    <comment ref="F601" authorId="1" shapeId="0" xr:uid="{443E4D8F-56DF-4E00-A84C-F26915C65D31}">
      <text/>
    </comment>
    <comment ref="F602" authorId="1" shapeId="0" xr:uid="{F488B524-2BBF-4990-924B-09FA4FC659AF}">
      <text/>
    </comment>
    <comment ref="A604" authorId="1" shapeId="0" xr:uid="{1FF9605E-2BED-4F24-9D3C-D2805988D71A}">
      <text>
        <r>
          <rPr>
            <sz val="11"/>
            <color theme="1"/>
            <rFont val="Calibri"/>
            <family val="2"/>
            <scheme val="minor"/>
          </rPr>
          <t>Introduzca un codigo UNSPSC</t>
        </r>
      </text>
    </comment>
    <comment ref="B604" authorId="1" shapeId="0" xr:uid="{C5F3745F-4908-47BF-93D1-28E02379626E}">
      <text>
        <r>
          <rPr>
            <sz val="11"/>
            <color theme="1"/>
            <rFont val="Calibri"/>
            <family val="2"/>
            <scheme val="minor"/>
          </rPr>
          <t>Descripción calculada automáticamente a partir de código del artículo</t>
        </r>
      </text>
    </comment>
    <comment ref="D604" authorId="1" shapeId="0" xr:uid="{E584A275-B37D-4AAE-A55A-5EEB5B8D1FDA}">
      <text>
        <r>
          <rPr>
            <sz val="11"/>
            <color theme="1"/>
            <rFont val="Calibri"/>
            <family val="2"/>
            <scheme val="minor"/>
          </rPr>
          <t>Introduzca un número con dos decimales como máximo. Debe ser igual o mayor a la "Cantidad Real Consumida"</t>
        </r>
      </text>
    </comment>
    <comment ref="E604" authorId="1" shapeId="0" xr:uid="{D6F6B74F-D3EB-417E-93F1-3D29C1A148C5}">
      <text>
        <r>
          <rPr>
            <sz val="11"/>
            <color theme="1"/>
            <rFont val="Calibri"/>
            <family val="2"/>
            <scheme val="minor"/>
          </rPr>
          <t>Introduzca un número con dos decimales como máximo</t>
        </r>
      </text>
    </comment>
    <comment ref="F604" authorId="1" shapeId="0" xr:uid="{7DB175E3-077F-47A5-BBF1-4814E4B22E61}">
      <text>
        <r>
          <rPr>
            <sz val="11"/>
            <color theme="1"/>
            <rFont val="Calibri"/>
            <family val="2"/>
            <scheme val="minor"/>
          </rPr>
          <t>Monto calculado automáticamente por el sistema</t>
        </r>
      </text>
    </comment>
    <comment ref="A612" authorId="1" shapeId="0" xr:uid="{3B72DF27-3906-4394-97FD-2B32EB343137}">
      <text>
        <r>
          <rPr>
            <sz val="11"/>
            <color theme="1"/>
            <rFont val="Calibri"/>
            <family val="2"/>
            <scheme val="minor"/>
          </rPr>
          <t>Introducir un texto con el nombre o referencia de la contratación</t>
        </r>
      </text>
    </comment>
    <comment ref="B612" authorId="1" shapeId="0" xr:uid="{5CE4E56D-105A-4B5B-8FD3-7E35788E0DAE}">
      <text>
        <r>
          <rPr>
            <sz val="11"/>
            <color theme="1"/>
            <rFont val="Calibri"/>
            <family val="2"/>
            <scheme val="minor"/>
          </rPr>
          <t>Introduzca un texto con la finalidad de la contratación</t>
        </r>
      </text>
    </comment>
    <comment ref="D612" authorId="1" shapeId="0" xr:uid="{958E4B01-5557-406D-97D3-DC2B3CF86B30}">
      <text>
        <r>
          <rPr>
            <sz val="11"/>
            <color theme="1"/>
            <rFont val="Calibri"/>
            <family val="2"/>
            <scheme val="minor"/>
          </rPr>
          <t>Seleccione el tipo de procedimiento</t>
        </r>
      </text>
    </comment>
    <comment ref="E612" authorId="1" shapeId="0" xr:uid="{BB41104E-A642-4900-A03E-36D2CE180992}">
      <text>
        <r>
          <rPr>
            <sz val="11"/>
            <color theme="1"/>
            <rFont val="Calibri"/>
            <family val="2"/>
            <scheme val="minor"/>
          </rPr>
          <t>Seleccione un valor de la lista</t>
        </r>
      </text>
    </comment>
    <comment ref="F612" authorId="1" shapeId="0" xr:uid="{FF54383F-623E-4A73-93FC-494403093613}">
      <text>
        <r>
          <rPr>
            <sz val="11"/>
            <color theme="1"/>
            <rFont val="Calibri"/>
            <family val="2"/>
            <scheme val="minor"/>
          </rPr>
          <t>Introduzca el código SNIP</t>
        </r>
      </text>
    </comment>
    <comment ref="F613" authorId="1" shapeId="0" xr:uid="{F50528D7-A907-48A5-B109-21398AE5688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4" authorId="1" shapeId="0" xr:uid="{FB15A7A8-071E-4DB3-9470-1033706374C1}">
      <text/>
    </comment>
    <comment ref="F615" authorId="1" shapeId="0" xr:uid="{B600490E-B4C0-4839-B58B-49BB71A39925}">
      <text/>
    </comment>
    <comment ref="F616" authorId="1" shapeId="0" xr:uid="{06A4C40F-4DC0-493B-BDB3-8CDCE7FD09F1}">
      <text/>
    </comment>
    <comment ref="A618" authorId="1" shapeId="0" xr:uid="{310BDE79-D858-43C8-A379-358B408F0539}">
      <text>
        <r>
          <rPr>
            <sz val="11"/>
            <color theme="1"/>
            <rFont val="Calibri"/>
            <family val="2"/>
            <scheme val="minor"/>
          </rPr>
          <t>Introduzca un codigo UNSPSC</t>
        </r>
      </text>
    </comment>
    <comment ref="B618" authorId="1" shapeId="0" xr:uid="{0510C698-4F14-4BA5-A9C7-2B0A238101ED}">
      <text>
        <r>
          <rPr>
            <sz val="11"/>
            <color theme="1"/>
            <rFont val="Calibri"/>
            <family val="2"/>
            <scheme val="minor"/>
          </rPr>
          <t>Descripción calculada automáticamente a partir de código del artículo</t>
        </r>
      </text>
    </comment>
    <comment ref="D618" authorId="1" shapeId="0" xr:uid="{5A310D47-7564-4736-870B-3A8E202F776F}">
      <text>
        <r>
          <rPr>
            <sz val="11"/>
            <color theme="1"/>
            <rFont val="Calibri"/>
            <family val="2"/>
            <scheme val="minor"/>
          </rPr>
          <t>Introduzca un número con dos decimales como máximo. Debe ser igual o mayor a la "Cantidad Real Consumida"</t>
        </r>
      </text>
    </comment>
    <comment ref="E618" authorId="1" shapeId="0" xr:uid="{8AD5F0BF-E973-4F0C-8931-2CE112413223}">
      <text>
        <r>
          <rPr>
            <sz val="11"/>
            <color theme="1"/>
            <rFont val="Calibri"/>
            <family val="2"/>
            <scheme val="minor"/>
          </rPr>
          <t>Introduzca un número con dos decimales como máximo</t>
        </r>
      </text>
    </comment>
    <comment ref="F618" authorId="1" shapeId="0" xr:uid="{3089A363-F0B2-47E2-906E-C7E4B129ADBC}">
      <text>
        <r>
          <rPr>
            <sz val="11"/>
            <color theme="1"/>
            <rFont val="Calibri"/>
            <family val="2"/>
            <scheme val="minor"/>
          </rPr>
          <t>Monto calculado automáticamente por el sistema</t>
        </r>
      </text>
    </comment>
    <comment ref="A626" authorId="1" shapeId="0" xr:uid="{D9E73646-3744-421C-B4CB-37D5C126407F}">
      <text>
        <r>
          <rPr>
            <sz val="11"/>
            <color theme="1"/>
            <rFont val="Calibri"/>
            <family val="2"/>
            <scheme val="minor"/>
          </rPr>
          <t>Introducir un texto con el nombre o referencia de la contratación</t>
        </r>
      </text>
    </comment>
    <comment ref="B626" authorId="1" shapeId="0" xr:uid="{A21682F9-139D-4A15-8E64-7B9453C52962}">
      <text>
        <r>
          <rPr>
            <sz val="11"/>
            <color theme="1"/>
            <rFont val="Calibri"/>
            <family val="2"/>
            <scheme val="minor"/>
          </rPr>
          <t>Introduzca un texto con la finalidad de la contratación</t>
        </r>
      </text>
    </comment>
    <comment ref="D626" authorId="1" shapeId="0" xr:uid="{8D460323-D139-42EC-90D5-536CA9978C60}">
      <text>
        <r>
          <rPr>
            <sz val="11"/>
            <color theme="1"/>
            <rFont val="Calibri"/>
            <family val="2"/>
            <scheme val="minor"/>
          </rPr>
          <t>Seleccione el tipo de procedimiento</t>
        </r>
      </text>
    </comment>
    <comment ref="E626" authorId="1" shapeId="0" xr:uid="{BE7E6A05-E01D-4B17-B7AB-AEA9F1DDF76C}">
      <text>
        <r>
          <rPr>
            <sz val="11"/>
            <color theme="1"/>
            <rFont val="Calibri"/>
            <family val="2"/>
            <scheme val="minor"/>
          </rPr>
          <t>Seleccione un valor de la lista</t>
        </r>
      </text>
    </comment>
    <comment ref="F626" authorId="1" shapeId="0" xr:uid="{37524395-E6A5-4B09-A17F-3828EC4B4C05}">
      <text>
        <r>
          <rPr>
            <sz val="11"/>
            <color theme="1"/>
            <rFont val="Calibri"/>
            <family val="2"/>
            <scheme val="minor"/>
          </rPr>
          <t>Introduzca el código SNIP</t>
        </r>
      </text>
    </comment>
    <comment ref="F627" authorId="1" shapeId="0" xr:uid="{6106DD46-6042-46FD-8CEA-576B4342FC2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8" authorId="1" shapeId="0" xr:uid="{EF48EFE6-5E38-4378-9D6D-FE581DCF98F5}">
      <text/>
    </comment>
    <comment ref="F629" authorId="1" shapeId="0" xr:uid="{17ECF756-1227-4D44-9670-76506531C654}">
      <text/>
    </comment>
    <comment ref="F630" authorId="1" shapeId="0" xr:uid="{76402235-3D58-4A06-9AC3-F9D89F9A95C3}">
      <text/>
    </comment>
    <comment ref="A632" authorId="1" shapeId="0" xr:uid="{E8F3BA34-18FE-4EAD-B51E-CD1F284721CC}">
      <text>
        <r>
          <rPr>
            <sz val="11"/>
            <color theme="1"/>
            <rFont val="Calibri"/>
            <family val="2"/>
            <scheme val="minor"/>
          </rPr>
          <t>Introduzca un codigo UNSPSC</t>
        </r>
      </text>
    </comment>
    <comment ref="B632" authorId="1" shapeId="0" xr:uid="{F1701469-837D-4792-ACA9-14D19215FB7A}">
      <text>
        <r>
          <rPr>
            <sz val="11"/>
            <color theme="1"/>
            <rFont val="Calibri"/>
            <family val="2"/>
            <scheme val="minor"/>
          </rPr>
          <t>Descripción calculada automáticamente a partir de código del artículo</t>
        </r>
      </text>
    </comment>
    <comment ref="D632" authorId="1" shapeId="0" xr:uid="{0FF74648-21F6-4D69-B4BB-7F58268E1E50}">
      <text>
        <r>
          <rPr>
            <sz val="11"/>
            <color theme="1"/>
            <rFont val="Calibri"/>
            <family val="2"/>
            <scheme val="minor"/>
          </rPr>
          <t>Introduzca un número con dos decimales como máximo. Debe ser igual o mayor a la "Cantidad Real Consumida"</t>
        </r>
      </text>
    </comment>
    <comment ref="E632" authorId="1" shapeId="0" xr:uid="{6D60D3A5-EE1C-4F4B-B90C-EAEF6047137E}">
      <text>
        <r>
          <rPr>
            <sz val="11"/>
            <color theme="1"/>
            <rFont val="Calibri"/>
            <family val="2"/>
            <scheme val="minor"/>
          </rPr>
          <t>Introduzca un número con dos decimales como máximo</t>
        </r>
      </text>
    </comment>
    <comment ref="F632" authorId="1" shapeId="0" xr:uid="{C34AAAD4-2E80-413F-90E4-F5E9B00B327D}">
      <text>
        <r>
          <rPr>
            <sz val="11"/>
            <color theme="1"/>
            <rFont val="Calibri"/>
            <family val="2"/>
            <scheme val="minor"/>
          </rPr>
          <t>Monto calculado automáticamente por el sistema</t>
        </r>
      </text>
    </comment>
    <comment ref="A639" authorId="1" shapeId="0" xr:uid="{7A68F6CF-A0C9-419A-8529-ADF0B5A64490}">
      <text>
        <r>
          <rPr>
            <sz val="11"/>
            <color theme="1"/>
            <rFont val="Calibri"/>
            <family val="2"/>
            <scheme val="minor"/>
          </rPr>
          <t>Introducir un texto con el nombre o referencia de la contratación</t>
        </r>
      </text>
    </comment>
    <comment ref="B639" authorId="1" shapeId="0" xr:uid="{1DF11480-B20F-42AA-81D6-4A26542C79EC}">
      <text>
        <r>
          <rPr>
            <sz val="11"/>
            <color theme="1"/>
            <rFont val="Calibri"/>
            <family val="2"/>
            <scheme val="minor"/>
          </rPr>
          <t>Introduzca un texto con la finalidad de la contratación</t>
        </r>
      </text>
    </comment>
    <comment ref="D639" authorId="1" shapeId="0" xr:uid="{612A6838-9F51-4ED1-B84F-9EE7F6D4E461}">
      <text>
        <r>
          <rPr>
            <sz val="11"/>
            <color theme="1"/>
            <rFont val="Calibri"/>
            <family val="2"/>
            <scheme val="minor"/>
          </rPr>
          <t>Seleccione el tipo de procedimiento</t>
        </r>
      </text>
    </comment>
    <comment ref="E639" authorId="1" shapeId="0" xr:uid="{A0AD9C3E-8D17-41A8-98C1-531AEE867E41}">
      <text>
        <r>
          <rPr>
            <sz val="11"/>
            <color theme="1"/>
            <rFont val="Calibri"/>
            <family val="2"/>
            <scheme val="minor"/>
          </rPr>
          <t>Seleccione un valor de la lista</t>
        </r>
      </text>
    </comment>
    <comment ref="F639" authorId="1" shapeId="0" xr:uid="{01E6E93D-7AC8-40A2-B3C6-59C9B21FD8D5}">
      <text>
        <r>
          <rPr>
            <sz val="11"/>
            <color theme="1"/>
            <rFont val="Calibri"/>
            <family val="2"/>
            <scheme val="minor"/>
          </rPr>
          <t>Introduzca el código SNIP</t>
        </r>
      </text>
    </comment>
    <comment ref="F640" authorId="1" shapeId="0" xr:uid="{4B84B91D-1A18-48D9-8D6B-39A6936C4EF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1" authorId="1" shapeId="0" xr:uid="{3F4453E9-87F4-44D8-BA7A-A319DE283F00}">
      <text/>
    </comment>
    <comment ref="F642" authorId="1" shapeId="0" xr:uid="{81A619E7-E7C3-419B-B93A-910DED2884F4}">
      <text/>
    </comment>
    <comment ref="F643" authorId="1" shapeId="0" xr:uid="{60AE5FF3-8109-4BE9-AEFA-486B8C931C36}">
      <text/>
    </comment>
    <comment ref="A645" authorId="1" shapeId="0" xr:uid="{CF5D6D40-8934-49B7-B56A-4BD011BDF3AC}">
      <text>
        <r>
          <rPr>
            <sz val="11"/>
            <color theme="1"/>
            <rFont val="Calibri"/>
            <family val="2"/>
            <scheme val="minor"/>
          </rPr>
          <t>Introduzca un codigo UNSPSC</t>
        </r>
      </text>
    </comment>
    <comment ref="B645" authorId="1" shapeId="0" xr:uid="{FA6B8744-0809-4ED7-9F23-D58A694C5F0D}">
      <text>
        <r>
          <rPr>
            <sz val="11"/>
            <color theme="1"/>
            <rFont val="Calibri"/>
            <family val="2"/>
            <scheme val="minor"/>
          </rPr>
          <t>Descripción calculada automáticamente a partir de código del artículo</t>
        </r>
      </text>
    </comment>
    <comment ref="D645" authorId="1" shapeId="0" xr:uid="{FE39CC47-0986-4173-A293-6CDEDF8C2B5E}">
      <text>
        <r>
          <rPr>
            <sz val="11"/>
            <color theme="1"/>
            <rFont val="Calibri"/>
            <family val="2"/>
            <scheme val="minor"/>
          </rPr>
          <t>Introduzca un número con dos decimales como máximo. Debe ser igual o mayor a la "Cantidad Real Consumida"</t>
        </r>
      </text>
    </comment>
    <comment ref="E645" authorId="1" shapeId="0" xr:uid="{3A09C428-AFD5-4C19-8037-3F71B0B6CDC8}">
      <text>
        <r>
          <rPr>
            <sz val="11"/>
            <color theme="1"/>
            <rFont val="Calibri"/>
            <family val="2"/>
            <scheme val="minor"/>
          </rPr>
          <t>Introduzca un número con dos decimales como máximo</t>
        </r>
      </text>
    </comment>
    <comment ref="F645" authorId="1" shapeId="0" xr:uid="{0D2574D5-906E-4069-AB12-68875B0B7EAE}">
      <text>
        <r>
          <rPr>
            <sz val="11"/>
            <color theme="1"/>
            <rFont val="Calibri"/>
            <family val="2"/>
            <scheme val="minor"/>
          </rPr>
          <t>Monto calculado automáticamente por el sistema</t>
        </r>
      </text>
    </comment>
    <comment ref="A655" authorId="1" shapeId="0" xr:uid="{301A1E74-AD4A-41B1-984E-EF9150CB4186}">
      <text>
        <r>
          <rPr>
            <sz val="11"/>
            <color theme="1"/>
            <rFont val="Calibri"/>
            <family val="2"/>
            <scheme val="minor"/>
          </rPr>
          <t>Introducir un texto con el nombre o referencia de la contratación</t>
        </r>
      </text>
    </comment>
    <comment ref="B655" authorId="1" shapeId="0" xr:uid="{77CF7D95-7C63-4205-A177-F5899437537E}">
      <text>
        <r>
          <rPr>
            <sz val="11"/>
            <color theme="1"/>
            <rFont val="Calibri"/>
            <family val="2"/>
            <scheme val="minor"/>
          </rPr>
          <t>Introduzca un texto con la finalidad de la contratación</t>
        </r>
      </text>
    </comment>
    <comment ref="D655" authorId="1" shapeId="0" xr:uid="{BE831527-F029-4C68-8254-854FB216785B}">
      <text>
        <r>
          <rPr>
            <sz val="11"/>
            <color theme="1"/>
            <rFont val="Calibri"/>
            <family val="2"/>
            <scheme val="minor"/>
          </rPr>
          <t>Seleccione el tipo de procedimiento</t>
        </r>
      </text>
    </comment>
    <comment ref="E655" authorId="1" shapeId="0" xr:uid="{0B5508C2-9118-4776-AC12-B529CAA0F730}">
      <text>
        <r>
          <rPr>
            <sz val="11"/>
            <color theme="1"/>
            <rFont val="Calibri"/>
            <family val="2"/>
            <scheme val="minor"/>
          </rPr>
          <t>Seleccione un valor de la lista</t>
        </r>
      </text>
    </comment>
    <comment ref="F655" authorId="1" shapeId="0" xr:uid="{F0CAF5E0-828D-426E-A7EC-9AB1C6CC8C61}">
      <text>
        <r>
          <rPr>
            <sz val="11"/>
            <color theme="1"/>
            <rFont val="Calibri"/>
            <family val="2"/>
            <scheme val="minor"/>
          </rPr>
          <t>Introduzca el código SNIP</t>
        </r>
      </text>
    </comment>
    <comment ref="F656" authorId="1" shapeId="0" xr:uid="{DA77DC31-425F-40E9-9129-E4F38DF9451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7" authorId="1" shapeId="0" xr:uid="{5EE3CA7A-1B6D-4A27-927E-1D43DF8A4BB5}">
      <text/>
    </comment>
    <comment ref="F658" authorId="1" shapeId="0" xr:uid="{BEB721AB-38BF-42DC-882D-FDE892451931}">
      <text/>
    </comment>
    <comment ref="F659" authorId="1" shapeId="0" xr:uid="{9CD843E6-62D3-4A6B-BB91-A473F9D109B2}">
      <text/>
    </comment>
    <comment ref="A661" authorId="1" shapeId="0" xr:uid="{D6A36A53-D200-4831-B654-8D82205AF071}">
      <text>
        <r>
          <rPr>
            <sz val="11"/>
            <color theme="1"/>
            <rFont val="Calibri"/>
            <family val="2"/>
            <scheme val="minor"/>
          </rPr>
          <t>Introduzca un codigo UNSPSC</t>
        </r>
      </text>
    </comment>
    <comment ref="B661" authorId="1" shapeId="0" xr:uid="{1F2B528F-1A73-4B10-91E8-A01E2D8ACD7B}">
      <text>
        <r>
          <rPr>
            <sz val="11"/>
            <color theme="1"/>
            <rFont val="Calibri"/>
            <family val="2"/>
            <scheme val="minor"/>
          </rPr>
          <t>Descripción calculada automáticamente a partir de código del artículo</t>
        </r>
      </text>
    </comment>
    <comment ref="D661" authorId="1" shapeId="0" xr:uid="{D0EDD254-2CBE-4D8F-824B-63F0D7E874C4}">
      <text>
        <r>
          <rPr>
            <sz val="11"/>
            <color theme="1"/>
            <rFont val="Calibri"/>
            <family val="2"/>
            <scheme val="minor"/>
          </rPr>
          <t>Introduzca un número con dos decimales como máximo. Debe ser igual o mayor a la "Cantidad Real Consumida"</t>
        </r>
      </text>
    </comment>
    <comment ref="E661" authorId="1" shapeId="0" xr:uid="{E930493E-C12E-4FFB-8FB4-A240C107B240}">
      <text>
        <r>
          <rPr>
            <sz val="11"/>
            <color theme="1"/>
            <rFont val="Calibri"/>
            <family val="2"/>
            <scheme val="minor"/>
          </rPr>
          <t>Introduzca un número con dos decimales como máximo</t>
        </r>
      </text>
    </comment>
    <comment ref="F661" authorId="1" shapeId="0" xr:uid="{472081D7-8BCD-4CC7-86D6-851F300CA6AC}">
      <text>
        <r>
          <rPr>
            <sz val="11"/>
            <color theme="1"/>
            <rFont val="Calibri"/>
            <family val="2"/>
            <scheme val="minor"/>
          </rPr>
          <t>Monto calculado automáticamente por el sistema</t>
        </r>
      </text>
    </comment>
    <comment ref="A667" authorId="1" shapeId="0" xr:uid="{F109B13B-EB01-4B77-9BDB-E8E910C730AB}">
      <text>
        <r>
          <rPr>
            <sz val="11"/>
            <color theme="1"/>
            <rFont val="Calibri"/>
            <family val="2"/>
            <scheme val="minor"/>
          </rPr>
          <t>Introducir un texto con el nombre o referencia de la contratación</t>
        </r>
      </text>
    </comment>
    <comment ref="B667" authorId="1" shapeId="0" xr:uid="{CA65C0A8-8990-4AA4-A182-E92AEC40D821}">
      <text>
        <r>
          <rPr>
            <sz val="11"/>
            <color theme="1"/>
            <rFont val="Calibri"/>
            <family val="2"/>
            <scheme val="minor"/>
          </rPr>
          <t>Introduzca un texto con la finalidad de la contratación</t>
        </r>
      </text>
    </comment>
    <comment ref="D667" authorId="1" shapeId="0" xr:uid="{BCEAB5E8-F610-4B77-8AF7-03F87815DA37}">
      <text>
        <r>
          <rPr>
            <sz val="11"/>
            <color theme="1"/>
            <rFont val="Calibri"/>
            <family val="2"/>
            <scheme val="minor"/>
          </rPr>
          <t>Seleccione el tipo de procedimiento</t>
        </r>
      </text>
    </comment>
    <comment ref="E667" authorId="1" shapeId="0" xr:uid="{083F1ED6-AB01-4571-9511-CECB39155AAA}">
      <text>
        <r>
          <rPr>
            <sz val="11"/>
            <color theme="1"/>
            <rFont val="Calibri"/>
            <family val="2"/>
            <scheme val="minor"/>
          </rPr>
          <t>Seleccione un valor de la lista</t>
        </r>
      </text>
    </comment>
    <comment ref="F667" authorId="1" shapeId="0" xr:uid="{05D13E06-8F95-44D5-8C73-A245B5047829}">
      <text>
        <r>
          <rPr>
            <sz val="11"/>
            <color theme="1"/>
            <rFont val="Calibri"/>
            <family val="2"/>
            <scheme val="minor"/>
          </rPr>
          <t>Introduzca el código SNIP</t>
        </r>
      </text>
    </comment>
    <comment ref="F668" authorId="1" shapeId="0" xr:uid="{C7C78A60-7630-4F0A-B8DA-F8B70B02F4E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9" authorId="1" shapeId="0" xr:uid="{C5CFF35F-CADF-4ED9-BF29-C6B184A75349}">
      <text/>
    </comment>
    <comment ref="F670" authorId="1" shapeId="0" xr:uid="{462E7625-AA05-4A07-9BEA-3BC64554C269}">
      <text/>
    </comment>
    <comment ref="F671" authorId="1" shapeId="0" xr:uid="{F348E45A-22A1-4DD4-B0C6-2EA8B87F8CDE}">
      <text/>
    </comment>
    <comment ref="A673" authorId="1" shapeId="0" xr:uid="{CC23B98F-4834-444A-8507-38CBA0AF5DD9}">
      <text>
        <r>
          <rPr>
            <sz val="11"/>
            <color theme="1"/>
            <rFont val="Calibri"/>
            <family val="2"/>
            <scheme val="minor"/>
          </rPr>
          <t>Introduzca un codigo UNSPSC</t>
        </r>
      </text>
    </comment>
    <comment ref="B673" authorId="1" shapeId="0" xr:uid="{8FF9B9EE-A00E-4EB2-95EE-6E213105D498}">
      <text>
        <r>
          <rPr>
            <sz val="11"/>
            <color theme="1"/>
            <rFont val="Calibri"/>
            <family val="2"/>
            <scheme val="minor"/>
          </rPr>
          <t>Descripción calculada automáticamente a partir de código del artículo</t>
        </r>
      </text>
    </comment>
    <comment ref="D673" authorId="1" shapeId="0" xr:uid="{ABCD68C2-338F-4655-BECD-B7AA0F117E92}">
      <text>
        <r>
          <rPr>
            <sz val="11"/>
            <color theme="1"/>
            <rFont val="Calibri"/>
            <family val="2"/>
            <scheme val="minor"/>
          </rPr>
          <t>Introduzca un número con dos decimales como máximo. Debe ser igual o mayor a la "Cantidad Real Consumida"</t>
        </r>
      </text>
    </comment>
    <comment ref="E673" authorId="1" shapeId="0" xr:uid="{A0F28BEF-9BF4-47F9-A208-BA7CE648D555}">
      <text>
        <r>
          <rPr>
            <sz val="11"/>
            <color theme="1"/>
            <rFont val="Calibri"/>
            <family val="2"/>
            <scheme val="minor"/>
          </rPr>
          <t>Introduzca un número con dos decimales como máximo</t>
        </r>
      </text>
    </comment>
    <comment ref="F673" authorId="1" shapeId="0" xr:uid="{3FDD1BE3-73C7-41ED-885B-1B24382985E8}">
      <text>
        <r>
          <rPr>
            <sz val="11"/>
            <color theme="1"/>
            <rFont val="Calibri"/>
            <family val="2"/>
            <scheme val="minor"/>
          </rPr>
          <t>Monto calculado automáticamente por el sistema</t>
        </r>
      </text>
    </comment>
    <comment ref="A680" authorId="1" shapeId="0" xr:uid="{FCE08269-61A1-413A-B1EE-4000FA0479C9}">
      <text>
        <r>
          <rPr>
            <sz val="11"/>
            <color theme="1"/>
            <rFont val="Calibri"/>
            <family val="2"/>
            <scheme val="minor"/>
          </rPr>
          <t>Introducir un texto con el nombre o referencia de la contratación</t>
        </r>
      </text>
    </comment>
    <comment ref="B680" authorId="1" shapeId="0" xr:uid="{D40F267D-457F-4E4C-82E4-E4EC37DBF4C7}">
      <text>
        <r>
          <rPr>
            <sz val="11"/>
            <color theme="1"/>
            <rFont val="Calibri"/>
            <family val="2"/>
            <scheme val="minor"/>
          </rPr>
          <t>Introduzca un texto con la finalidad de la contratación</t>
        </r>
      </text>
    </comment>
    <comment ref="D680" authorId="1" shapeId="0" xr:uid="{A6930404-0B28-48F8-96C7-635A149C3033}">
      <text>
        <r>
          <rPr>
            <sz val="11"/>
            <color theme="1"/>
            <rFont val="Calibri"/>
            <family val="2"/>
            <scheme val="minor"/>
          </rPr>
          <t>Seleccione el tipo de procedimiento</t>
        </r>
      </text>
    </comment>
    <comment ref="E680" authorId="1" shapeId="0" xr:uid="{868312B0-D439-411B-9A85-25BD859BE6CF}">
      <text>
        <r>
          <rPr>
            <sz val="11"/>
            <color theme="1"/>
            <rFont val="Calibri"/>
            <family val="2"/>
            <scheme val="minor"/>
          </rPr>
          <t>Seleccione un valor de la lista</t>
        </r>
      </text>
    </comment>
    <comment ref="F680" authorId="1" shapeId="0" xr:uid="{0D019DFC-024F-4E4E-8514-82888EAB3958}">
      <text>
        <r>
          <rPr>
            <sz val="11"/>
            <color theme="1"/>
            <rFont val="Calibri"/>
            <family val="2"/>
            <scheme val="minor"/>
          </rPr>
          <t>Introduzca el código SNIP</t>
        </r>
      </text>
    </comment>
    <comment ref="F681" authorId="1" shapeId="0" xr:uid="{35895374-C1F5-4EAF-AEE3-9DA2326B068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1" shapeId="0" xr:uid="{93AC6BA0-E05D-46ED-8D9A-619A7871CE11}">
      <text/>
    </comment>
    <comment ref="F683" authorId="1" shapeId="0" xr:uid="{0D92A065-8BFB-44FA-9F26-907CF08B2263}">
      <text/>
    </comment>
    <comment ref="F684" authorId="1" shapeId="0" xr:uid="{F110DD1E-73BC-4E2C-AC26-9998AC8311F3}">
      <text/>
    </comment>
    <comment ref="A686" authorId="1" shapeId="0" xr:uid="{62F5C6B7-2FC8-487E-B857-D9DAE62D74B7}">
      <text>
        <r>
          <rPr>
            <sz val="11"/>
            <color theme="1"/>
            <rFont val="Calibri"/>
            <family val="2"/>
            <scheme val="minor"/>
          </rPr>
          <t>Introduzca un codigo UNSPSC</t>
        </r>
      </text>
    </comment>
    <comment ref="B686" authorId="1" shapeId="0" xr:uid="{4D1DDC5E-6241-4039-90FF-62D2236627C2}">
      <text>
        <r>
          <rPr>
            <sz val="11"/>
            <color theme="1"/>
            <rFont val="Calibri"/>
            <family val="2"/>
            <scheme val="minor"/>
          </rPr>
          <t>Descripción calculada automáticamente a partir de código del artículo</t>
        </r>
      </text>
    </comment>
    <comment ref="D686" authorId="1" shapeId="0" xr:uid="{49146E21-224C-4A51-A8B4-FD9F4B8B3E25}">
      <text>
        <r>
          <rPr>
            <sz val="11"/>
            <color theme="1"/>
            <rFont val="Calibri"/>
            <family val="2"/>
            <scheme val="minor"/>
          </rPr>
          <t>Introduzca un número con dos decimales como máximo. Debe ser igual o mayor a la "Cantidad Real Consumida"</t>
        </r>
      </text>
    </comment>
    <comment ref="E686" authorId="1" shapeId="0" xr:uid="{F7AE0B4C-9318-4122-A094-CBF0D991CE41}">
      <text>
        <r>
          <rPr>
            <sz val="11"/>
            <color theme="1"/>
            <rFont val="Calibri"/>
            <family val="2"/>
            <scheme val="minor"/>
          </rPr>
          <t>Introduzca un número con dos decimales como máximo</t>
        </r>
      </text>
    </comment>
    <comment ref="F686" authorId="1" shapeId="0" xr:uid="{9366B7F7-EAB4-4726-9086-07ED9EC1935A}">
      <text>
        <r>
          <rPr>
            <sz val="11"/>
            <color theme="1"/>
            <rFont val="Calibri"/>
            <family val="2"/>
            <scheme val="minor"/>
          </rPr>
          <t>Monto calculado automáticamente por el sistema</t>
        </r>
      </text>
    </comment>
    <comment ref="A697" authorId="1" shapeId="0" xr:uid="{D09AC82E-F088-4A5F-8A6E-E9C7F4289FF6}">
      <text>
        <r>
          <rPr>
            <sz val="11"/>
            <color theme="1"/>
            <rFont val="Calibri"/>
            <family val="2"/>
            <scheme val="minor"/>
          </rPr>
          <t>Introducir un texto con el nombre o referencia de la contratación</t>
        </r>
      </text>
    </comment>
    <comment ref="B697" authorId="1" shapeId="0" xr:uid="{5EE01F02-D032-49C1-9969-44244922FDB5}">
      <text>
        <r>
          <rPr>
            <sz val="11"/>
            <color theme="1"/>
            <rFont val="Calibri"/>
            <family val="2"/>
            <scheme val="minor"/>
          </rPr>
          <t>Introduzca un texto con la finalidad de la contratación</t>
        </r>
      </text>
    </comment>
    <comment ref="D697" authorId="1" shapeId="0" xr:uid="{66772DF0-2D3B-46C8-B8A6-B80E2D641A88}">
      <text>
        <r>
          <rPr>
            <sz val="11"/>
            <color theme="1"/>
            <rFont val="Calibri"/>
            <family val="2"/>
            <scheme val="minor"/>
          </rPr>
          <t>Seleccione el tipo de procedimiento</t>
        </r>
      </text>
    </comment>
    <comment ref="E697" authorId="1" shapeId="0" xr:uid="{501A3773-3842-4220-A8F4-D26EAB54ABA6}">
      <text>
        <r>
          <rPr>
            <sz val="11"/>
            <color theme="1"/>
            <rFont val="Calibri"/>
            <family val="2"/>
            <scheme val="minor"/>
          </rPr>
          <t>Seleccione un valor de la lista</t>
        </r>
      </text>
    </comment>
    <comment ref="F697" authorId="1" shapeId="0" xr:uid="{1432FB56-9207-4BB0-88D6-4D1442003D69}">
      <text>
        <r>
          <rPr>
            <sz val="11"/>
            <color theme="1"/>
            <rFont val="Calibri"/>
            <family val="2"/>
            <scheme val="minor"/>
          </rPr>
          <t>Introduzca el código SNIP</t>
        </r>
      </text>
    </comment>
    <comment ref="F698" authorId="1" shapeId="0" xr:uid="{D9547468-2F52-4A8A-83F4-410260F7DFB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9" authorId="1" shapeId="0" xr:uid="{DFC35EC5-AB28-4934-B2BA-D628506524BB}">
      <text/>
    </comment>
    <comment ref="F700" authorId="1" shapeId="0" xr:uid="{445E2915-26D8-4E6C-9FB1-9E15A2275C7C}">
      <text/>
    </comment>
    <comment ref="F701" authorId="1" shapeId="0" xr:uid="{A709AB26-BF7C-4F68-95F6-A1B84B58B695}">
      <text/>
    </comment>
    <comment ref="A703" authorId="1" shapeId="0" xr:uid="{5F178ADC-075B-4351-AAB0-EA6C2A391692}">
      <text>
        <r>
          <rPr>
            <sz val="11"/>
            <color theme="1"/>
            <rFont val="Calibri"/>
            <family val="2"/>
            <scheme val="minor"/>
          </rPr>
          <t>Introduzca un codigo UNSPSC</t>
        </r>
      </text>
    </comment>
    <comment ref="B703" authorId="1" shapeId="0" xr:uid="{33CE4E3E-6321-4896-9B68-2183A26ECB04}">
      <text>
        <r>
          <rPr>
            <sz val="11"/>
            <color theme="1"/>
            <rFont val="Calibri"/>
            <family val="2"/>
            <scheme val="minor"/>
          </rPr>
          <t>Descripción calculada automáticamente a partir de código del artículo</t>
        </r>
      </text>
    </comment>
    <comment ref="D703" authorId="1" shapeId="0" xr:uid="{63E343BB-F560-4700-AC14-6959B0BC2F6D}">
      <text>
        <r>
          <rPr>
            <sz val="11"/>
            <color theme="1"/>
            <rFont val="Calibri"/>
            <family val="2"/>
            <scheme val="minor"/>
          </rPr>
          <t>Introduzca un número con dos decimales como máximo. Debe ser igual o mayor a la "Cantidad Real Consumida"</t>
        </r>
      </text>
    </comment>
    <comment ref="E703" authorId="1" shapeId="0" xr:uid="{77F6C747-B99D-41C8-9C7B-8FD0E28B8DBA}">
      <text>
        <r>
          <rPr>
            <sz val="11"/>
            <color theme="1"/>
            <rFont val="Calibri"/>
            <family val="2"/>
            <scheme val="minor"/>
          </rPr>
          <t>Introduzca un número con dos decimales como máximo</t>
        </r>
      </text>
    </comment>
    <comment ref="F703" authorId="1" shapeId="0" xr:uid="{4943F300-2266-47B4-AA57-694744E4276C}">
      <text>
        <r>
          <rPr>
            <sz val="11"/>
            <color theme="1"/>
            <rFont val="Calibri"/>
            <family val="2"/>
            <scheme val="minor"/>
          </rPr>
          <t>Monto calculado automáticamente por el sistema</t>
        </r>
      </text>
    </comment>
    <comment ref="A713" authorId="1" shapeId="0" xr:uid="{C64301B6-94FA-47C2-BB5A-9CAB1552CE29}">
      <text>
        <r>
          <rPr>
            <sz val="11"/>
            <color theme="1"/>
            <rFont val="Calibri"/>
            <family val="2"/>
            <scheme val="minor"/>
          </rPr>
          <t>Introducir un texto con el nombre o referencia de la contratación</t>
        </r>
      </text>
    </comment>
    <comment ref="B713" authorId="1" shapeId="0" xr:uid="{250C5D7E-BE74-4F6F-9514-7CE45A120197}">
      <text>
        <r>
          <rPr>
            <sz val="11"/>
            <color theme="1"/>
            <rFont val="Calibri"/>
            <family val="2"/>
            <scheme val="minor"/>
          </rPr>
          <t>Introduzca un texto con la finalidad de la contratación</t>
        </r>
      </text>
    </comment>
    <comment ref="D713" authorId="1" shapeId="0" xr:uid="{A3BD78DB-345C-4D03-A6B1-CB0D5B599D1E}">
      <text>
        <r>
          <rPr>
            <sz val="11"/>
            <color theme="1"/>
            <rFont val="Calibri"/>
            <family val="2"/>
            <scheme val="minor"/>
          </rPr>
          <t>Seleccione el tipo de procedimiento</t>
        </r>
      </text>
    </comment>
    <comment ref="E713" authorId="1" shapeId="0" xr:uid="{92804BD5-ED61-4ED4-8357-7FA897C9E2A5}">
      <text>
        <r>
          <rPr>
            <sz val="11"/>
            <color theme="1"/>
            <rFont val="Calibri"/>
            <family val="2"/>
            <scheme val="minor"/>
          </rPr>
          <t>Seleccione un valor de la lista</t>
        </r>
      </text>
    </comment>
    <comment ref="F713" authorId="1" shapeId="0" xr:uid="{0BD0C89B-9102-4962-929C-1A83839C37DB}">
      <text>
        <r>
          <rPr>
            <sz val="11"/>
            <color theme="1"/>
            <rFont val="Calibri"/>
            <family val="2"/>
            <scheme val="minor"/>
          </rPr>
          <t>Introduzca el código SNIP</t>
        </r>
      </text>
    </comment>
    <comment ref="F714" authorId="1" shapeId="0" xr:uid="{5E51DF8A-B673-4BEB-B97B-55A8A84DE70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5" authorId="1" shapeId="0" xr:uid="{E4165995-14DB-4861-A790-E5FB1C5FEF70}">
      <text/>
    </comment>
    <comment ref="F716" authorId="1" shapeId="0" xr:uid="{8ABA1903-9864-460A-9F40-04ADC584678E}">
      <text/>
    </comment>
    <comment ref="F717" authorId="1" shapeId="0" xr:uid="{9752F521-277E-4872-A054-34798DD3F7A9}">
      <text/>
    </comment>
    <comment ref="A719" authorId="1" shapeId="0" xr:uid="{C7C18A35-8C08-47DB-AB7D-A3989298F586}">
      <text>
        <r>
          <rPr>
            <sz val="11"/>
            <color theme="1"/>
            <rFont val="Calibri"/>
            <family val="2"/>
            <scheme val="minor"/>
          </rPr>
          <t>Introduzca un codigo UNSPSC</t>
        </r>
      </text>
    </comment>
    <comment ref="B719" authorId="1" shapeId="0" xr:uid="{CE6DEA8C-2424-4180-AE55-309B2877FDF9}">
      <text>
        <r>
          <rPr>
            <sz val="11"/>
            <color theme="1"/>
            <rFont val="Calibri"/>
            <family val="2"/>
            <scheme val="minor"/>
          </rPr>
          <t>Descripción calculada automáticamente a partir de código del artículo</t>
        </r>
      </text>
    </comment>
    <comment ref="D719" authorId="1" shapeId="0" xr:uid="{FB26C7BB-6347-48FF-B69F-8289CC673E0B}">
      <text>
        <r>
          <rPr>
            <sz val="11"/>
            <color theme="1"/>
            <rFont val="Calibri"/>
            <family val="2"/>
            <scheme val="minor"/>
          </rPr>
          <t>Introduzca un número con dos decimales como máximo. Debe ser igual o mayor a la "Cantidad Real Consumida"</t>
        </r>
      </text>
    </comment>
    <comment ref="E719" authorId="1" shapeId="0" xr:uid="{BCB39052-1064-49C3-9279-504829DD294F}">
      <text>
        <r>
          <rPr>
            <sz val="11"/>
            <color theme="1"/>
            <rFont val="Calibri"/>
            <family val="2"/>
            <scheme val="minor"/>
          </rPr>
          <t>Introduzca un número con dos decimales como máximo</t>
        </r>
      </text>
    </comment>
    <comment ref="F719" authorId="1" shapeId="0" xr:uid="{52A4C1B3-3C44-4F18-A719-858878D605F3}">
      <text>
        <r>
          <rPr>
            <sz val="11"/>
            <color theme="1"/>
            <rFont val="Calibri"/>
            <family val="2"/>
            <scheme val="minor"/>
          </rPr>
          <t>Monto calculado automáticamente por el sistema</t>
        </r>
      </text>
    </comment>
    <comment ref="A725" authorId="1" shapeId="0" xr:uid="{40B6193D-A706-435C-AC4B-59A870B52BBE}">
      <text>
        <r>
          <rPr>
            <sz val="11"/>
            <color theme="1"/>
            <rFont val="Calibri"/>
            <family val="2"/>
            <scheme val="minor"/>
          </rPr>
          <t>Introducir un texto con el nombre o referencia de la contratación</t>
        </r>
      </text>
    </comment>
    <comment ref="B725" authorId="1" shapeId="0" xr:uid="{D080B4DA-763A-4CCE-BAB8-5154FC6A0AED}">
      <text>
        <r>
          <rPr>
            <sz val="11"/>
            <color theme="1"/>
            <rFont val="Calibri"/>
            <family val="2"/>
            <scheme val="minor"/>
          </rPr>
          <t>Introduzca un texto con la finalidad de la contratación</t>
        </r>
      </text>
    </comment>
    <comment ref="D725" authorId="1" shapeId="0" xr:uid="{9A10AA12-22EE-4B4A-8768-62B5E067046B}">
      <text>
        <r>
          <rPr>
            <sz val="11"/>
            <color theme="1"/>
            <rFont val="Calibri"/>
            <family val="2"/>
            <scheme val="minor"/>
          </rPr>
          <t>Seleccione el tipo de procedimiento</t>
        </r>
      </text>
    </comment>
    <comment ref="E725" authorId="1" shapeId="0" xr:uid="{BAC5C27F-6B81-4CE1-A698-1603A01C14DC}">
      <text>
        <r>
          <rPr>
            <sz val="11"/>
            <color theme="1"/>
            <rFont val="Calibri"/>
            <family val="2"/>
            <scheme val="minor"/>
          </rPr>
          <t>Seleccione un valor de la lista</t>
        </r>
      </text>
    </comment>
    <comment ref="F725" authorId="1" shapeId="0" xr:uid="{4A5FA376-4171-45F0-BF0D-75A64C047A29}">
      <text>
        <r>
          <rPr>
            <sz val="11"/>
            <color theme="1"/>
            <rFont val="Calibri"/>
            <family val="2"/>
            <scheme val="minor"/>
          </rPr>
          <t>Introduzca el código SNIP</t>
        </r>
      </text>
    </comment>
    <comment ref="F726" authorId="1" shapeId="0" xr:uid="{E886A4C3-0360-410C-A2B5-421EC5FA688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7" authorId="1" shapeId="0" xr:uid="{AF246543-D2D2-436B-B1DF-17CBF9F42372}">
      <text/>
    </comment>
    <comment ref="F728" authorId="1" shapeId="0" xr:uid="{5193F28F-1FBA-443E-BB91-9FFB76C9ECC4}">
      <text/>
    </comment>
    <comment ref="F729" authorId="1" shapeId="0" xr:uid="{4495221A-88B9-44E8-BF41-A8B23482518C}">
      <text/>
    </comment>
    <comment ref="A731" authorId="1" shapeId="0" xr:uid="{EB2EAA33-EF67-4DCF-A76A-E6937D97852F}">
      <text>
        <r>
          <rPr>
            <sz val="11"/>
            <color theme="1"/>
            <rFont val="Calibri"/>
            <family val="2"/>
            <scheme val="minor"/>
          </rPr>
          <t>Introduzca un codigo UNSPSC</t>
        </r>
      </text>
    </comment>
    <comment ref="B731" authorId="1" shapeId="0" xr:uid="{3E816776-E9FF-4AA1-BF17-A34293228D11}">
      <text>
        <r>
          <rPr>
            <sz val="11"/>
            <color theme="1"/>
            <rFont val="Calibri"/>
            <family val="2"/>
            <scheme val="minor"/>
          </rPr>
          <t>Descripción calculada automáticamente a partir de código del artículo</t>
        </r>
      </text>
    </comment>
    <comment ref="D731" authorId="1" shapeId="0" xr:uid="{D3880637-2515-4BC4-808C-7C3110FD688A}">
      <text>
        <r>
          <rPr>
            <sz val="11"/>
            <color theme="1"/>
            <rFont val="Calibri"/>
            <family val="2"/>
            <scheme val="minor"/>
          </rPr>
          <t>Introduzca un número con dos decimales como máximo. Debe ser igual o mayor a la "Cantidad Real Consumida"</t>
        </r>
      </text>
    </comment>
    <comment ref="E731" authorId="1" shapeId="0" xr:uid="{EBDAADAD-C8FB-483B-980E-AE2E3082F1BF}">
      <text>
        <r>
          <rPr>
            <sz val="11"/>
            <color theme="1"/>
            <rFont val="Calibri"/>
            <family val="2"/>
            <scheme val="minor"/>
          </rPr>
          <t>Introduzca un número con dos decimales como máximo</t>
        </r>
      </text>
    </comment>
    <comment ref="F731" authorId="1" shapeId="0" xr:uid="{10D2A7B3-A0A4-41B1-B0D9-D7348A8E3469}">
      <text>
        <r>
          <rPr>
            <sz val="11"/>
            <color theme="1"/>
            <rFont val="Calibri"/>
            <family val="2"/>
            <scheme val="minor"/>
          </rPr>
          <t>Monto calculado automáticamente por el sistema</t>
        </r>
      </text>
    </comment>
    <comment ref="A737" authorId="1" shapeId="0" xr:uid="{C5CE59CF-A2F5-4085-9111-E5DAFCF49768}">
      <text>
        <r>
          <rPr>
            <sz val="11"/>
            <color theme="1"/>
            <rFont val="Calibri"/>
            <family val="2"/>
            <scheme val="minor"/>
          </rPr>
          <t>Introducir un texto con el nombre o referencia de la contratación</t>
        </r>
      </text>
    </comment>
    <comment ref="B737" authorId="1" shapeId="0" xr:uid="{5DAC308A-38E5-4649-8E47-B2901AF2033D}">
      <text>
        <r>
          <rPr>
            <sz val="11"/>
            <color theme="1"/>
            <rFont val="Calibri"/>
            <family val="2"/>
            <scheme val="minor"/>
          </rPr>
          <t>Introduzca un texto con la finalidad de la contratación</t>
        </r>
      </text>
    </comment>
    <comment ref="D737" authorId="1" shapeId="0" xr:uid="{3738D08C-1D9B-46AC-9A40-548DD091AA1D}">
      <text>
        <r>
          <rPr>
            <sz val="11"/>
            <color theme="1"/>
            <rFont val="Calibri"/>
            <family val="2"/>
            <scheme val="minor"/>
          </rPr>
          <t>Seleccione el tipo de procedimiento</t>
        </r>
      </text>
    </comment>
    <comment ref="E737" authorId="1" shapeId="0" xr:uid="{8C7FE96A-3841-430D-A35C-D5AB7FF1E9A5}">
      <text>
        <r>
          <rPr>
            <sz val="11"/>
            <color theme="1"/>
            <rFont val="Calibri"/>
            <family val="2"/>
            <scheme val="minor"/>
          </rPr>
          <t>Seleccione un valor de la lista</t>
        </r>
      </text>
    </comment>
    <comment ref="F737" authorId="1" shapeId="0" xr:uid="{5DB62940-5201-490C-98FE-ABF1B771B457}">
      <text>
        <r>
          <rPr>
            <sz val="11"/>
            <color theme="1"/>
            <rFont val="Calibri"/>
            <family val="2"/>
            <scheme val="minor"/>
          </rPr>
          <t>Introduzca el código SNIP</t>
        </r>
      </text>
    </comment>
    <comment ref="F738" authorId="1" shapeId="0" xr:uid="{7BEFB3D0-0793-4ADC-B4B6-4B173855EC9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9" authorId="1" shapeId="0" xr:uid="{9C0602EB-E1DD-4874-8192-19EC4720B81E}">
      <text/>
    </comment>
    <comment ref="F740" authorId="1" shapeId="0" xr:uid="{AF5B3059-1289-4C66-B413-A2DD95083B68}">
      <text/>
    </comment>
    <comment ref="F741" authorId="1" shapeId="0" xr:uid="{D674743D-84C2-46B0-92E0-12399F3AF844}">
      <text/>
    </comment>
    <comment ref="A743" authorId="1" shapeId="0" xr:uid="{F49C321F-B6FF-4B1F-AEE5-BC09B57FB84C}">
      <text>
        <r>
          <rPr>
            <sz val="11"/>
            <color theme="1"/>
            <rFont val="Calibri"/>
            <family val="2"/>
            <scheme val="minor"/>
          </rPr>
          <t>Introduzca un codigo UNSPSC</t>
        </r>
      </text>
    </comment>
    <comment ref="B743" authorId="1" shapeId="0" xr:uid="{79761085-420A-417A-B5A5-97FB9AAA2B07}">
      <text>
        <r>
          <rPr>
            <sz val="11"/>
            <color theme="1"/>
            <rFont val="Calibri"/>
            <family val="2"/>
            <scheme val="minor"/>
          </rPr>
          <t>Descripción calculada automáticamente a partir de código del artículo</t>
        </r>
      </text>
    </comment>
    <comment ref="D743" authorId="1" shapeId="0" xr:uid="{2D8E6F70-9504-4964-A8EE-3AFB389058CB}">
      <text>
        <r>
          <rPr>
            <sz val="11"/>
            <color theme="1"/>
            <rFont val="Calibri"/>
            <family val="2"/>
            <scheme val="minor"/>
          </rPr>
          <t>Introduzca un número con dos decimales como máximo. Debe ser igual o mayor a la "Cantidad Real Consumida"</t>
        </r>
      </text>
    </comment>
    <comment ref="E743" authorId="1" shapeId="0" xr:uid="{212C4C1B-D90E-455B-9F06-203C4C6FB562}">
      <text>
        <r>
          <rPr>
            <sz val="11"/>
            <color theme="1"/>
            <rFont val="Calibri"/>
            <family val="2"/>
            <scheme val="minor"/>
          </rPr>
          <t>Introduzca un número con dos decimales como máximo</t>
        </r>
      </text>
    </comment>
    <comment ref="F743" authorId="1" shapeId="0" xr:uid="{BD52FCB6-11E5-485F-908E-DD4EA3B78076}">
      <text>
        <r>
          <rPr>
            <sz val="11"/>
            <color theme="1"/>
            <rFont val="Calibri"/>
            <family val="2"/>
            <scheme val="minor"/>
          </rPr>
          <t>Monto calculado automáticamente por el sistema</t>
        </r>
      </text>
    </comment>
    <comment ref="A753" authorId="1" shapeId="0" xr:uid="{C5A352D7-1D6D-4A11-B959-DA9E246631F5}">
      <text>
        <r>
          <rPr>
            <sz val="11"/>
            <color theme="1"/>
            <rFont val="Calibri"/>
            <family val="2"/>
            <scheme val="minor"/>
          </rPr>
          <t>Introducir un texto con el nombre o referencia de la contratación</t>
        </r>
      </text>
    </comment>
    <comment ref="B753" authorId="1" shapeId="0" xr:uid="{FF195884-31D7-429A-87E3-0D14D43077BC}">
      <text>
        <r>
          <rPr>
            <sz val="11"/>
            <color theme="1"/>
            <rFont val="Calibri"/>
            <family val="2"/>
            <scheme val="minor"/>
          </rPr>
          <t>Introducir un texto con el nombre o referencia de la contratación</t>
        </r>
      </text>
    </comment>
    <comment ref="D753" authorId="1" shapeId="0" xr:uid="{48472341-3055-4329-A423-EE434300E20A}">
      <text>
        <r>
          <rPr>
            <sz val="11"/>
            <color theme="1"/>
            <rFont val="Calibri"/>
            <family val="2"/>
            <scheme val="minor"/>
          </rPr>
          <t>Seleccione el tipo de procedimiento</t>
        </r>
      </text>
    </comment>
    <comment ref="E753" authorId="1" shapeId="0" xr:uid="{8D44CFA4-1C85-4FC6-B1C9-9932EE4FA3C8}">
      <text>
        <r>
          <rPr>
            <sz val="11"/>
            <color theme="1"/>
            <rFont val="Calibri"/>
            <family val="2"/>
            <scheme val="minor"/>
          </rPr>
          <t>Seleccione un valor de la lista</t>
        </r>
      </text>
    </comment>
    <comment ref="F753" authorId="1" shapeId="0" xr:uid="{1128096F-6009-4CD9-BCA2-5028E8DE34D1}">
      <text>
        <r>
          <rPr>
            <sz val="11"/>
            <color theme="1"/>
            <rFont val="Calibri"/>
            <family val="2"/>
            <scheme val="minor"/>
          </rPr>
          <t>Introduzca el código SNIP</t>
        </r>
      </text>
    </comment>
    <comment ref="F754" authorId="1" shapeId="0" xr:uid="{9F805AB6-9D1E-45EC-A65E-281ED275831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5" authorId="1" shapeId="0" xr:uid="{B3A8BCF9-B7DD-4F41-BB1B-078D709B2715}">
      <text/>
    </comment>
    <comment ref="F756" authorId="1" shapeId="0" xr:uid="{7AB71BBA-3CC5-4CEE-AEA5-E4BA7B106F1E}">
      <text/>
    </comment>
    <comment ref="F757" authorId="1" shapeId="0" xr:uid="{70D9CEA1-8046-4B12-8D86-41DF3E27D947}">
      <text/>
    </comment>
    <comment ref="A759" authorId="1" shapeId="0" xr:uid="{8EA5EB97-17EF-4FF2-9D60-62FBE6C919BE}">
      <text>
        <r>
          <rPr>
            <sz val="11"/>
            <color theme="1"/>
            <rFont val="Calibri"/>
            <family val="2"/>
            <scheme val="minor"/>
          </rPr>
          <t>Introduzca un codigo UNSPSC</t>
        </r>
      </text>
    </comment>
    <comment ref="B759" authorId="1" shapeId="0" xr:uid="{A1623F67-14FD-42EB-8436-2E25AD69FEBF}">
      <text>
        <r>
          <rPr>
            <sz val="11"/>
            <color theme="1"/>
            <rFont val="Calibri"/>
            <family val="2"/>
            <scheme val="minor"/>
          </rPr>
          <t>Descripción calculada automáticamente a partir de código del artículo</t>
        </r>
      </text>
    </comment>
    <comment ref="D759" authorId="1" shapeId="0" xr:uid="{B4C561B2-B3B5-4FAE-9AF2-EA68C92CBB61}">
      <text>
        <r>
          <rPr>
            <sz val="11"/>
            <color theme="1"/>
            <rFont val="Calibri"/>
            <family val="2"/>
            <scheme val="minor"/>
          </rPr>
          <t>Introduzca un número con dos decimales como máximo. Debe ser igual o mayor a la "Cantidad Real Consumida"</t>
        </r>
      </text>
    </comment>
    <comment ref="E759" authorId="1" shapeId="0" xr:uid="{3ACAEBDB-D07E-44B0-8982-76EDBC40241A}">
      <text>
        <r>
          <rPr>
            <sz val="11"/>
            <color theme="1"/>
            <rFont val="Calibri"/>
            <family val="2"/>
            <scheme val="minor"/>
          </rPr>
          <t>Introduzca un número con dos decimales como máximo</t>
        </r>
      </text>
    </comment>
    <comment ref="F759" authorId="1" shapeId="0" xr:uid="{C11F3858-A624-487E-A88B-10875B9D0600}">
      <text>
        <r>
          <rPr>
            <sz val="11"/>
            <color theme="1"/>
            <rFont val="Calibri"/>
            <family val="2"/>
            <scheme val="minor"/>
          </rPr>
          <t>Monto calculado automáticamente por el sistema</t>
        </r>
      </text>
    </comment>
    <comment ref="A774" authorId="1" shapeId="0" xr:uid="{49FEDABC-929A-456E-AF9C-9D4C13F5CD4B}">
      <text>
        <r>
          <rPr>
            <sz val="11"/>
            <color theme="1"/>
            <rFont val="Calibri"/>
            <family val="2"/>
            <scheme val="minor"/>
          </rPr>
          <t>Introducir un texto con el nombre o referencia de la contratación</t>
        </r>
      </text>
    </comment>
    <comment ref="B774" authorId="1" shapeId="0" xr:uid="{9007142F-2620-49F8-9DF0-EA8E643B476D}">
      <text>
        <r>
          <rPr>
            <sz val="11"/>
            <color theme="1"/>
            <rFont val="Calibri"/>
            <family val="2"/>
            <scheme val="minor"/>
          </rPr>
          <t>Introducir un texto con el nombre o referencia de la contratación</t>
        </r>
      </text>
    </comment>
    <comment ref="D774" authorId="1" shapeId="0" xr:uid="{B8ADF9D4-F1A7-4EE4-9B26-14A0A6600CE6}">
      <text>
        <r>
          <rPr>
            <sz val="11"/>
            <color theme="1"/>
            <rFont val="Calibri"/>
            <family val="2"/>
            <scheme val="minor"/>
          </rPr>
          <t>Seleccione el tipo de procedimiento</t>
        </r>
      </text>
    </comment>
    <comment ref="E774" authorId="1" shapeId="0" xr:uid="{0DB59185-8454-417D-8DBE-60C735CC76AF}">
      <text>
        <r>
          <rPr>
            <sz val="11"/>
            <color theme="1"/>
            <rFont val="Calibri"/>
            <family val="2"/>
            <scheme val="minor"/>
          </rPr>
          <t>Seleccione un valor de la lista</t>
        </r>
      </text>
    </comment>
    <comment ref="F774" authorId="1" shapeId="0" xr:uid="{9C750770-153D-4FD3-9095-D1C9CDF094A4}">
      <text>
        <r>
          <rPr>
            <sz val="11"/>
            <color theme="1"/>
            <rFont val="Calibri"/>
            <family val="2"/>
            <scheme val="minor"/>
          </rPr>
          <t>Introduzca el código SNIP</t>
        </r>
      </text>
    </comment>
    <comment ref="F775" authorId="1" shapeId="0" xr:uid="{117170DD-4A80-41E6-91CD-E3BAEE3699E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6" authorId="1" shapeId="0" xr:uid="{C004305C-5790-4698-82CA-DD2CD4898299}">
      <text/>
    </comment>
    <comment ref="F777" authorId="1" shapeId="0" xr:uid="{CC19816E-9F1C-46BF-A051-56DB51D13B12}">
      <text/>
    </comment>
    <comment ref="F778" authorId="1" shapeId="0" xr:uid="{00B4960C-409F-4D21-92D5-ECDA2ADFF781}">
      <text/>
    </comment>
    <comment ref="A780" authorId="1" shapeId="0" xr:uid="{6EB09A42-872E-4C2E-9B62-6D91BFE50EF8}">
      <text>
        <r>
          <rPr>
            <sz val="11"/>
            <color theme="1"/>
            <rFont val="Calibri"/>
            <family val="2"/>
            <scheme val="minor"/>
          </rPr>
          <t>Introduzca un codigo UNSPSC</t>
        </r>
      </text>
    </comment>
    <comment ref="B780" authorId="1" shapeId="0" xr:uid="{2679949C-893C-4B7E-8784-3E47A9AFD1E7}">
      <text>
        <r>
          <rPr>
            <sz val="11"/>
            <color theme="1"/>
            <rFont val="Calibri"/>
            <family val="2"/>
            <scheme val="minor"/>
          </rPr>
          <t>Descripción calculada automáticamente a partir de código del artículo</t>
        </r>
      </text>
    </comment>
    <comment ref="D780" authorId="1" shapeId="0" xr:uid="{7ED8BC0C-E4C1-49F9-9A98-8B9966870BD7}">
      <text>
        <r>
          <rPr>
            <sz val="11"/>
            <color theme="1"/>
            <rFont val="Calibri"/>
            <family val="2"/>
            <scheme val="minor"/>
          </rPr>
          <t>Introduzca un número con dos decimales como máximo. Debe ser igual o mayor a la "Cantidad Real Consumida"</t>
        </r>
      </text>
    </comment>
    <comment ref="E780" authorId="1" shapeId="0" xr:uid="{D77499C7-37F4-4CA9-9214-772CED2CEFC5}">
      <text>
        <r>
          <rPr>
            <sz val="11"/>
            <color theme="1"/>
            <rFont val="Calibri"/>
            <family val="2"/>
            <scheme val="minor"/>
          </rPr>
          <t>Introduzca un número con dos decimales como máximo</t>
        </r>
      </text>
    </comment>
    <comment ref="F780" authorId="1" shapeId="0" xr:uid="{8DE271A5-DDB3-43E3-9C4B-5477169581C7}">
      <text>
        <r>
          <rPr>
            <sz val="11"/>
            <color theme="1"/>
            <rFont val="Calibri"/>
            <family val="2"/>
            <scheme val="minor"/>
          </rPr>
          <t>Monto calculado automáticamente por el sistema</t>
        </r>
      </text>
    </comment>
    <comment ref="A785" authorId="1" shapeId="0" xr:uid="{8C183012-D029-4DED-B013-00B6097496BD}">
      <text>
        <r>
          <rPr>
            <sz val="11"/>
            <color theme="1"/>
            <rFont val="Calibri"/>
            <family val="2"/>
            <scheme val="minor"/>
          </rPr>
          <t>Introducir un texto con el nombre o referencia de la contratación</t>
        </r>
      </text>
    </comment>
    <comment ref="B785" authorId="1" shapeId="0" xr:uid="{14A3DDC9-813B-427B-9043-155B6177F636}">
      <text>
        <r>
          <rPr>
            <sz val="11"/>
            <color theme="1"/>
            <rFont val="Calibri"/>
            <family val="2"/>
            <scheme val="minor"/>
          </rPr>
          <t>Introducir un texto con el nombre o referencia de la contratación</t>
        </r>
      </text>
    </comment>
    <comment ref="D785" authorId="1" shapeId="0" xr:uid="{929EB792-73C3-4232-87A4-11516563BF61}">
      <text>
        <r>
          <rPr>
            <sz val="11"/>
            <color theme="1"/>
            <rFont val="Calibri"/>
            <family val="2"/>
            <scheme val="minor"/>
          </rPr>
          <t>Seleccione el tipo de procedimiento</t>
        </r>
      </text>
    </comment>
    <comment ref="E785" authorId="1" shapeId="0" xr:uid="{BC33BC8E-18F1-4EC9-A9DB-18AFA1EDA2E5}">
      <text>
        <r>
          <rPr>
            <sz val="11"/>
            <color theme="1"/>
            <rFont val="Calibri"/>
            <family val="2"/>
            <scheme val="minor"/>
          </rPr>
          <t>Seleccione un valor de la lista</t>
        </r>
      </text>
    </comment>
    <comment ref="F785" authorId="1" shapeId="0" xr:uid="{8E17CD99-B5C3-425E-A96B-390D76F9DC32}">
      <text>
        <r>
          <rPr>
            <sz val="11"/>
            <color theme="1"/>
            <rFont val="Calibri"/>
            <family val="2"/>
            <scheme val="minor"/>
          </rPr>
          <t>Introduzca el código SNIP</t>
        </r>
      </text>
    </comment>
    <comment ref="F786" authorId="1" shapeId="0" xr:uid="{A7D6DEC3-87D4-4CB0-8142-4FD8A9A8230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7" authorId="1" shapeId="0" xr:uid="{A3083166-B62F-4874-9DFF-401D41367315}">
      <text/>
    </comment>
    <comment ref="F788" authorId="1" shapeId="0" xr:uid="{1226C4C5-840A-42D4-8A25-8C12E46633E4}">
      <text/>
    </comment>
    <comment ref="F789" authorId="1" shapeId="0" xr:uid="{837D095D-1119-4440-A89D-F4EE16914840}">
      <text/>
    </comment>
    <comment ref="A791" authorId="1" shapeId="0" xr:uid="{B420D128-67A8-48CB-88C3-2D898FBD19CA}">
      <text>
        <r>
          <rPr>
            <sz val="11"/>
            <color theme="1"/>
            <rFont val="Calibri"/>
            <family val="2"/>
            <scheme val="minor"/>
          </rPr>
          <t>Introduzca un codigo UNSPSC</t>
        </r>
      </text>
    </comment>
    <comment ref="B791" authorId="1" shapeId="0" xr:uid="{C5F0E850-02D4-40A5-AF6A-4B1FD1EEE06F}">
      <text>
        <r>
          <rPr>
            <sz val="11"/>
            <color theme="1"/>
            <rFont val="Calibri"/>
            <family val="2"/>
            <scheme val="minor"/>
          </rPr>
          <t>Descripción calculada automáticamente a partir de código del artículo</t>
        </r>
      </text>
    </comment>
    <comment ref="D791" authorId="1" shapeId="0" xr:uid="{F1C65B3E-442B-4DE0-A95D-6C2F10EDFC97}">
      <text>
        <r>
          <rPr>
            <sz val="11"/>
            <color theme="1"/>
            <rFont val="Calibri"/>
            <family val="2"/>
            <scheme val="minor"/>
          </rPr>
          <t>Introduzca un número con dos decimales como máximo. Debe ser igual o mayor a la "Cantidad Real Consumida"</t>
        </r>
      </text>
    </comment>
    <comment ref="E791" authorId="1" shapeId="0" xr:uid="{0BA6BBA0-5324-4878-91D3-9DA9E15F0C24}">
      <text>
        <r>
          <rPr>
            <sz val="11"/>
            <color theme="1"/>
            <rFont val="Calibri"/>
            <family val="2"/>
            <scheme val="minor"/>
          </rPr>
          <t>Introduzca un número con dos decimales como máximo</t>
        </r>
      </text>
    </comment>
    <comment ref="F791" authorId="1" shapeId="0" xr:uid="{D1CB9F28-0A05-472C-BCE3-7C273522133A}">
      <text>
        <r>
          <rPr>
            <sz val="11"/>
            <color theme="1"/>
            <rFont val="Calibri"/>
            <family val="2"/>
            <scheme val="minor"/>
          </rPr>
          <t>Monto calculado automáticamente por el sistema</t>
        </r>
      </text>
    </comment>
    <comment ref="A798" authorId="1" shapeId="0" xr:uid="{F9E6A23C-5B80-426F-B488-62BD153EA468}">
      <text>
        <r>
          <rPr>
            <sz val="11"/>
            <color theme="1"/>
            <rFont val="Calibri"/>
            <family val="2"/>
            <scheme val="minor"/>
          </rPr>
          <t>Introducir un texto con el nombre o referencia de la contratación</t>
        </r>
      </text>
    </comment>
    <comment ref="B798" authorId="1" shapeId="0" xr:uid="{5D0F6ABB-433A-43E2-BE2B-EF7A2548F038}">
      <text>
        <r>
          <rPr>
            <sz val="11"/>
            <color theme="1"/>
            <rFont val="Calibri"/>
            <family val="2"/>
            <scheme val="minor"/>
          </rPr>
          <t>Introducir un texto con el nombre o referencia de la contratación</t>
        </r>
      </text>
    </comment>
    <comment ref="D798" authorId="1" shapeId="0" xr:uid="{F13D0FD2-466B-4EAA-B540-58FFEADA7156}">
      <text>
        <r>
          <rPr>
            <sz val="11"/>
            <color theme="1"/>
            <rFont val="Calibri"/>
            <family val="2"/>
            <scheme val="minor"/>
          </rPr>
          <t>Seleccione el tipo de procedimiento</t>
        </r>
      </text>
    </comment>
    <comment ref="E798" authorId="1" shapeId="0" xr:uid="{BDEAF01A-CF14-4928-9A3D-E1F3C6463961}">
      <text>
        <r>
          <rPr>
            <sz val="11"/>
            <color theme="1"/>
            <rFont val="Calibri"/>
            <family val="2"/>
            <scheme val="minor"/>
          </rPr>
          <t>Seleccione un valor de la lista</t>
        </r>
      </text>
    </comment>
    <comment ref="F798" authorId="1" shapeId="0" xr:uid="{CE416DEB-A53B-4361-A074-2C8BC42D0E13}">
      <text>
        <r>
          <rPr>
            <sz val="11"/>
            <color theme="1"/>
            <rFont val="Calibri"/>
            <family val="2"/>
            <scheme val="minor"/>
          </rPr>
          <t>Introduzca el código SNIP</t>
        </r>
      </text>
    </comment>
    <comment ref="F799" authorId="1" shapeId="0" xr:uid="{39AC7D4B-7557-4F19-85F0-8C787077549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0" authorId="1" shapeId="0" xr:uid="{AF13DB6A-0AB8-4757-A727-4D64F8A36FAC}">
      <text/>
    </comment>
    <comment ref="F801" authorId="1" shapeId="0" xr:uid="{87F19D48-DDDD-49C2-874C-C9C3EA023FF9}">
      <text/>
    </comment>
    <comment ref="F802" authorId="1" shapeId="0" xr:uid="{F33B7780-48CD-4F04-BA12-FE5C1E3049E7}">
      <text/>
    </comment>
    <comment ref="A804" authorId="1" shapeId="0" xr:uid="{12EB0C9D-179D-47BB-894D-A99DA82DDC51}">
      <text>
        <r>
          <rPr>
            <sz val="11"/>
            <color theme="1"/>
            <rFont val="Calibri"/>
            <family val="2"/>
            <scheme val="minor"/>
          </rPr>
          <t>Introduzca un codigo UNSPSC</t>
        </r>
      </text>
    </comment>
    <comment ref="B804" authorId="1" shapeId="0" xr:uid="{AD6E5C5C-7F95-42E1-94BA-AEBD10C133BC}">
      <text>
        <r>
          <rPr>
            <sz val="11"/>
            <color theme="1"/>
            <rFont val="Calibri"/>
            <family val="2"/>
            <scheme val="minor"/>
          </rPr>
          <t>Descripción calculada automáticamente a partir de código del artículo</t>
        </r>
      </text>
    </comment>
    <comment ref="D804" authorId="1" shapeId="0" xr:uid="{91B7420F-2A71-4E21-961B-23102A16EFED}">
      <text>
        <r>
          <rPr>
            <sz val="11"/>
            <color theme="1"/>
            <rFont val="Calibri"/>
            <family val="2"/>
            <scheme val="minor"/>
          </rPr>
          <t>Introduzca un número con dos decimales como máximo. Debe ser igual o mayor a la "Cantidad Real Consumida"</t>
        </r>
      </text>
    </comment>
    <comment ref="E804" authorId="1" shapeId="0" xr:uid="{33060E5A-F1A3-4633-A2C7-D8A1AD9E108D}">
      <text>
        <r>
          <rPr>
            <sz val="11"/>
            <color theme="1"/>
            <rFont val="Calibri"/>
            <family val="2"/>
            <scheme val="minor"/>
          </rPr>
          <t>Introduzca un número con dos decimales como máximo</t>
        </r>
      </text>
    </comment>
    <comment ref="F804" authorId="1" shapeId="0" xr:uid="{DF8E8A63-D792-45AB-BAAF-011CF3765533}">
      <text>
        <r>
          <rPr>
            <sz val="11"/>
            <color theme="1"/>
            <rFont val="Calibri"/>
            <family val="2"/>
            <scheme val="minor"/>
          </rPr>
          <t>Monto calculado automáticamente por el sistema</t>
        </r>
      </text>
    </comment>
    <comment ref="A810" authorId="1" shapeId="0" xr:uid="{208E4B4B-6CE8-4861-9149-8973B5B438C3}">
      <text>
        <r>
          <rPr>
            <sz val="11"/>
            <color theme="1"/>
            <rFont val="Calibri"/>
            <family val="2"/>
            <scheme val="minor"/>
          </rPr>
          <t>Introducir un texto con el nombre o referencia de la contratación</t>
        </r>
      </text>
    </comment>
    <comment ref="B810" authorId="1" shapeId="0" xr:uid="{D4F0999E-77C9-466C-9B9C-D8606BDCAB65}">
      <text>
        <r>
          <rPr>
            <sz val="11"/>
            <color theme="1"/>
            <rFont val="Calibri"/>
            <family val="2"/>
            <scheme val="minor"/>
          </rPr>
          <t>Introducir un texto con el nombre o referencia de la contratación</t>
        </r>
      </text>
    </comment>
    <comment ref="D810" authorId="1" shapeId="0" xr:uid="{B3AE216B-BBB5-423B-90AC-80C4014C5DB1}">
      <text>
        <r>
          <rPr>
            <sz val="11"/>
            <color theme="1"/>
            <rFont val="Calibri"/>
            <family val="2"/>
            <scheme val="minor"/>
          </rPr>
          <t>Seleccione el tipo de procedimiento</t>
        </r>
      </text>
    </comment>
    <comment ref="E810" authorId="1" shapeId="0" xr:uid="{15640462-2896-4176-8C4A-C4045AEEECE6}">
      <text>
        <r>
          <rPr>
            <sz val="11"/>
            <color theme="1"/>
            <rFont val="Calibri"/>
            <family val="2"/>
            <scheme val="minor"/>
          </rPr>
          <t>Seleccione un valor de la lista</t>
        </r>
      </text>
    </comment>
    <comment ref="F810" authorId="1" shapeId="0" xr:uid="{466EBFF7-AFBA-4D78-A970-419967D31EFF}">
      <text>
        <r>
          <rPr>
            <sz val="11"/>
            <color theme="1"/>
            <rFont val="Calibri"/>
            <family val="2"/>
            <scheme val="minor"/>
          </rPr>
          <t>Introduzca el código SNIP</t>
        </r>
      </text>
    </comment>
    <comment ref="F811" authorId="1" shapeId="0" xr:uid="{CF044661-052D-4C38-9292-F994E434DDE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2" authorId="1" shapeId="0" xr:uid="{111B0E20-241D-4787-B1C1-6C42CC91B570}">
      <text/>
    </comment>
    <comment ref="F813" authorId="1" shapeId="0" xr:uid="{5AF112E4-F91E-413A-A642-32E37FF69139}">
      <text/>
    </comment>
    <comment ref="F814" authorId="1" shapeId="0" xr:uid="{284564B2-B431-4222-B394-C060175F0B64}">
      <text/>
    </comment>
    <comment ref="A816" authorId="1" shapeId="0" xr:uid="{FBB82D13-23A1-4D6D-B858-2FFB64251DE3}">
      <text>
        <r>
          <rPr>
            <sz val="11"/>
            <color theme="1"/>
            <rFont val="Calibri"/>
            <family val="2"/>
            <scheme val="minor"/>
          </rPr>
          <t>Introduzca un codigo UNSPSC</t>
        </r>
      </text>
    </comment>
    <comment ref="B816" authorId="1" shapeId="0" xr:uid="{E01AE363-7FED-43C2-9E2D-D2B6CC2C10E8}">
      <text>
        <r>
          <rPr>
            <sz val="11"/>
            <color theme="1"/>
            <rFont val="Calibri"/>
            <family val="2"/>
            <scheme val="minor"/>
          </rPr>
          <t>Descripción calculada automáticamente a partir de código del artículo</t>
        </r>
      </text>
    </comment>
    <comment ref="D816" authorId="1" shapeId="0" xr:uid="{7656EDFA-039A-4DCA-8071-1B0301F029D1}">
      <text>
        <r>
          <rPr>
            <sz val="11"/>
            <color theme="1"/>
            <rFont val="Calibri"/>
            <family val="2"/>
            <scheme val="minor"/>
          </rPr>
          <t>Introduzca un número con dos decimales como máximo. Debe ser igual o mayor a la "Cantidad Real Consumida"</t>
        </r>
      </text>
    </comment>
    <comment ref="E816" authorId="1" shapeId="0" xr:uid="{DF55E13C-F14C-463E-A15F-CD254A19ACA4}">
      <text>
        <r>
          <rPr>
            <sz val="11"/>
            <color theme="1"/>
            <rFont val="Calibri"/>
            <family val="2"/>
            <scheme val="minor"/>
          </rPr>
          <t>Introduzca un número con dos decimales como máximo</t>
        </r>
      </text>
    </comment>
    <comment ref="F816" authorId="1" shapeId="0" xr:uid="{0387CF75-7304-4D26-882D-B8CAA03389AE}">
      <text>
        <r>
          <rPr>
            <sz val="11"/>
            <color theme="1"/>
            <rFont val="Calibri"/>
            <family val="2"/>
            <scheme val="minor"/>
          </rPr>
          <t>Monto calculado automáticamente por el sistema</t>
        </r>
      </text>
    </comment>
    <comment ref="A822" authorId="1" shapeId="0" xr:uid="{C14937F0-0EFB-4AA9-8378-5996C52A6369}">
      <text>
        <r>
          <rPr>
            <sz val="11"/>
            <color theme="1"/>
            <rFont val="Calibri"/>
            <family val="2"/>
            <scheme val="minor"/>
          </rPr>
          <t>Introducir un texto con el nombre o referencia de la contratación</t>
        </r>
      </text>
    </comment>
    <comment ref="B822" authorId="1" shapeId="0" xr:uid="{02B50A25-52E0-4BAD-8DD1-FB53D2AEDC45}">
      <text>
        <r>
          <rPr>
            <sz val="11"/>
            <color theme="1"/>
            <rFont val="Calibri"/>
            <family val="2"/>
            <scheme val="minor"/>
          </rPr>
          <t>Introducir un texto con el nombre o referencia de la contratación</t>
        </r>
      </text>
    </comment>
    <comment ref="D822" authorId="1" shapeId="0" xr:uid="{3633A252-BCEB-40B2-B52F-EA84034B6B96}">
      <text>
        <r>
          <rPr>
            <sz val="11"/>
            <color theme="1"/>
            <rFont val="Calibri"/>
            <family val="2"/>
            <scheme val="minor"/>
          </rPr>
          <t>Seleccione el tipo de procedimiento</t>
        </r>
      </text>
    </comment>
    <comment ref="E822" authorId="1" shapeId="0" xr:uid="{F80028BE-E63C-4DC5-825F-6AC5DD0DAC2E}">
      <text>
        <r>
          <rPr>
            <sz val="11"/>
            <color theme="1"/>
            <rFont val="Calibri"/>
            <family val="2"/>
            <scheme val="minor"/>
          </rPr>
          <t>Seleccione un valor de la lista</t>
        </r>
      </text>
    </comment>
    <comment ref="F822" authorId="1" shapeId="0" xr:uid="{9AFACC69-F3DC-4C4B-9835-3E077EAB3EC8}">
      <text>
        <r>
          <rPr>
            <sz val="11"/>
            <color theme="1"/>
            <rFont val="Calibri"/>
            <family val="2"/>
            <scheme val="minor"/>
          </rPr>
          <t>Introduzca el código SNIP</t>
        </r>
      </text>
    </comment>
    <comment ref="F823" authorId="1" shapeId="0" xr:uid="{216F6EA4-8E27-4CE1-BBE0-AF1FCF905C5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4" authorId="1" shapeId="0" xr:uid="{BBA4DC79-229E-4D8C-89BF-3F66EE4CAA51}">
      <text/>
    </comment>
    <comment ref="F825" authorId="1" shapeId="0" xr:uid="{EDB92ACC-D66A-4E3B-BD84-C8B80DDA6D9E}">
      <text/>
    </comment>
    <comment ref="F826" authorId="1" shapeId="0" xr:uid="{6A53E661-1908-4325-BDEC-ED9CE324CE03}">
      <text/>
    </comment>
    <comment ref="A828" authorId="1" shapeId="0" xr:uid="{7204E00B-C2B0-4CA3-BAE1-0B5D663811C6}">
      <text>
        <r>
          <rPr>
            <sz val="11"/>
            <color theme="1"/>
            <rFont val="Calibri"/>
            <family val="2"/>
            <scheme val="minor"/>
          </rPr>
          <t>Introduzca un codigo UNSPSC</t>
        </r>
      </text>
    </comment>
    <comment ref="B828" authorId="1" shapeId="0" xr:uid="{8DAF4822-7FD9-4213-B839-F3605B5565E8}">
      <text>
        <r>
          <rPr>
            <sz val="11"/>
            <color theme="1"/>
            <rFont val="Calibri"/>
            <family val="2"/>
            <scheme val="minor"/>
          </rPr>
          <t>Descripción calculada automáticamente a partir de código del artículo</t>
        </r>
      </text>
    </comment>
    <comment ref="D828" authorId="1" shapeId="0" xr:uid="{01D71674-8C42-4BF7-B748-C94D77711B9F}">
      <text>
        <r>
          <rPr>
            <sz val="11"/>
            <color theme="1"/>
            <rFont val="Calibri"/>
            <family val="2"/>
            <scheme val="minor"/>
          </rPr>
          <t>Introduzca un número con dos decimales como máximo. Debe ser igual o mayor a la "Cantidad Real Consumida"</t>
        </r>
      </text>
    </comment>
    <comment ref="E828" authorId="1" shapeId="0" xr:uid="{0D7C3308-0892-45F6-9ABA-751D49A21159}">
      <text>
        <r>
          <rPr>
            <sz val="11"/>
            <color theme="1"/>
            <rFont val="Calibri"/>
            <family val="2"/>
            <scheme val="minor"/>
          </rPr>
          <t>Introduzca un número con dos decimales como máximo</t>
        </r>
      </text>
    </comment>
    <comment ref="F828" authorId="1" shapeId="0" xr:uid="{4FD3F865-25F5-4893-AB9F-9268F4E2E6CF}">
      <text>
        <r>
          <rPr>
            <sz val="11"/>
            <color theme="1"/>
            <rFont val="Calibri"/>
            <family val="2"/>
            <scheme val="minor"/>
          </rPr>
          <t>Monto calculado automáticamente por el sistema</t>
        </r>
      </text>
    </comment>
    <comment ref="A834" authorId="1" shapeId="0" xr:uid="{7A6A8497-A639-4E34-9357-FE73D80F7C91}">
      <text>
        <r>
          <rPr>
            <sz val="11"/>
            <color theme="1"/>
            <rFont val="Calibri"/>
            <family val="2"/>
            <scheme val="minor"/>
          </rPr>
          <t>Introducir un texto con el nombre o referencia de la contratación</t>
        </r>
      </text>
    </comment>
    <comment ref="B834" authorId="1" shapeId="0" xr:uid="{3634F004-6B30-41A8-85BE-0BBA61FC3346}">
      <text>
        <r>
          <rPr>
            <sz val="11"/>
            <color theme="1"/>
            <rFont val="Calibri"/>
            <family val="2"/>
            <scheme val="minor"/>
          </rPr>
          <t>Introducir un texto con el nombre o referencia de la contratación</t>
        </r>
      </text>
    </comment>
    <comment ref="D834" authorId="1" shapeId="0" xr:uid="{71ED3802-DAF8-4FA1-8E2B-3781AFC8FD0C}">
      <text>
        <r>
          <rPr>
            <sz val="11"/>
            <color theme="1"/>
            <rFont val="Calibri"/>
            <family val="2"/>
            <scheme val="minor"/>
          </rPr>
          <t>Seleccione el tipo de procedimiento</t>
        </r>
      </text>
    </comment>
    <comment ref="E834" authorId="1" shapeId="0" xr:uid="{FE389AAC-C0A4-4007-8CC1-CC29898F1D4A}">
      <text>
        <r>
          <rPr>
            <sz val="11"/>
            <color theme="1"/>
            <rFont val="Calibri"/>
            <family val="2"/>
            <scheme val="minor"/>
          </rPr>
          <t>Seleccione un valor de la lista</t>
        </r>
      </text>
    </comment>
    <comment ref="F834" authorId="1" shapeId="0" xr:uid="{ECF22A43-80BF-4EEC-AC5B-ABF931847E1B}">
      <text>
        <r>
          <rPr>
            <sz val="11"/>
            <color theme="1"/>
            <rFont val="Calibri"/>
            <family val="2"/>
            <scheme val="minor"/>
          </rPr>
          <t>Introduzca el código SNIP</t>
        </r>
      </text>
    </comment>
    <comment ref="F835" authorId="1" shapeId="0" xr:uid="{42BF004F-0A29-4189-81B6-5863422A85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6" authorId="1" shapeId="0" xr:uid="{32F36329-4EDC-45FB-A9C0-075016536024}">
      <text/>
    </comment>
    <comment ref="F837" authorId="1" shapeId="0" xr:uid="{97B2D526-B25B-418B-92D4-66DCA2E62417}">
      <text/>
    </comment>
    <comment ref="F838" authorId="1" shapeId="0" xr:uid="{E567E53F-8BE7-420D-A072-552404205C0C}">
      <text/>
    </comment>
    <comment ref="A840" authorId="1" shapeId="0" xr:uid="{ED161FB4-9A14-41E6-97DF-251877A30729}">
      <text>
        <r>
          <rPr>
            <sz val="11"/>
            <color theme="1"/>
            <rFont val="Calibri"/>
            <family val="2"/>
            <scheme val="minor"/>
          </rPr>
          <t>Introduzca un codigo UNSPSC</t>
        </r>
      </text>
    </comment>
    <comment ref="B840" authorId="1" shapeId="0" xr:uid="{64002494-8C40-4722-924D-E3B18AB7C84A}">
      <text>
        <r>
          <rPr>
            <sz val="11"/>
            <color theme="1"/>
            <rFont val="Calibri"/>
            <family val="2"/>
            <scheme val="minor"/>
          </rPr>
          <t>Descripción calculada automáticamente a partir de código del artículo</t>
        </r>
      </text>
    </comment>
    <comment ref="D840" authorId="1" shapeId="0" xr:uid="{E9DA28EF-ED39-4DB2-B0F7-C52EA037C58E}">
      <text>
        <r>
          <rPr>
            <sz val="11"/>
            <color theme="1"/>
            <rFont val="Calibri"/>
            <family val="2"/>
            <scheme val="minor"/>
          </rPr>
          <t>Introduzca un número con dos decimales como máximo. Debe ser igual o mayor a la "Cantidad Real Consumida"</t>
        </r>
      </text>
    </comment>
    <comment ref="E840" authorId="1" shapeId="0" xr:uid="{CBCD6BE2-07D0-480B-A261-D48E2E775EF5}">
      <text>
        <r>
          <rPr>
            <sz val="11"/>
            <color theme="1"/>
            <rFont val="Calibri"/>
            <family val="2"/>
            <scheme val="minor"/>
          </rPr>
          <t>Introduzca un número con dos decimales como máximo</t>
        </r>
      </text>
    </comment>
    <comment ref="F840" authorId="1" shapeId="0" xr:uid="{981093BE-7908-4E0E-9DF9-BB7EEAAD9497}">
      <text>
        <r>
          <rPr>
            <sz val="11"/>
            <color theme="1"/>
            <rFont val="Calibri"/>
            <family val="2"/>
            <scheme val="minor"/>
          </rPr>
          <t>Monto calculado automáticamente por el sistema</t>
        </r>
      </text>
    </comment>
    <comment ref="A845" authorId="1" shapeId="0" xr:uid="{1A5569EA-CA91-427D-8176-31844883C580}">
      <text>
        <r>
          <rPr>
            <sz val="11"/>
            <color theme="1"/>
            <rFont val="Calibri"/>
            <family val="2"/>
            <scheme val="minor"/>
          </rPr>
          <t>Introducir un texto con el nombre o referencia de la contratación</t>
        </r>
      </text>
    </comment>
    <comment ref="B845" authorId="1" shapeId="0" xr:uid="{7539A0C4-558F-454C-BEE9-0C680426E4FD}">
      <text>
        <r>
          <rPr>
            <sz val="11"/>
            <color theme="1"/>
            <rFont val="Calibri"/>
            <family val="2"/>
            <scheme val="minor"/>
          </rPr>
          <t>Introducir un texto con el nombre o referencia de la contratación</t>
        </r>
      </text>
    </comment>
    <comment ref="D845" authorId="1" shapeId="0" xr:uid="{62DC3092-8C88-42B2-A071-20479CB77FA3}">
      <text>
        <r>
          <rPr>
            <sz val="11"/>
            <color theme="1"/>
            <rFont val="Calibri"/>
            <family val="2"/>
            <scheme val="minor"/>
          </rPr>
          <t>Seleccione el tipo de procedimiento</t>
        </r>
      </text>
    </comment>
    <comment ref="E845" authorId="1" shapeId="0" xr:uid="{4873EBB7-8B66-4CA4-AF03-376E25E8F2A7}">
      <text>
        <r>
          <rPr>
            <sz val="11"/>
            <color theme="1"/>
            <rFont val="Calibri"/>
            <family val="2"/>
            <scheme val="minor"/>
          </rPr>
          <t>Seleccione un valor de la lista</t>
        </r>
      </text>
    </comment>
    <comment ref="F845" authorId="1" shapeId="0" xr:uid="{630CA156-295D-4D60-ACBC-009B6EAF0F7C}">
      <text>
        <r>
          <rPr>
            <sz val="11"/>
            <color theme="1"/>
            <rFont val="Calibri"/>
            <family val="2"/>
            <scheme val="minor"/>
          </rPr>
          <t>Introduzca el código SNIP</t>
        </r>
      </text>
    </comment>
    <comment ref="F846" authorId="1" shapeId="0" xr:uid="{9F0A2BC5-4FFF-4F81-B27D-3A919ECE825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7" authorId="1" shapeId="0" xr:uid="{F65C6EEC-1979-4F9D-9C0A-64BA905F7DF1}">
      <text/>
    </comment>
    <comment ref="F848" authorId="1" shapeId="0" xr:uid="{693F36EB-9EBC-432E-99FA-095E3E8E80CF}">
      <text/>
    </comment>
    <comment ref="F849" authorId="1" shapeId="0" xr:uid="{E46D2BE4-6985-4F48-A131-FD4606A7AA1A}">
      <text/>
    </comment>
    <comment ref="A851" authorId="1" shapeId="0" xr:uid="{88E6ED7F-76FD-4472-9BB7-7F38FAAFFC68}">
      <text>
        <r>
          <rPr>
            <sz val="11"/>
            <color theme="1"/>
            <rFont val="Calibri"/>
            <family val="2"/>
            <scheme val="minor"/>
          </rPr>
          <t>Introduzca un codigo UNSPSC</t>
        </r>
      </text>
    </comment>
    <comment ref="B851" authorId="1" shapeId="0" xr:uid="{F1ACE3A4-95BE-47B5-BA7D-BFCBD13BD842}">
      <text>
        <r>
          <rPr>
            <sz val="11"/>
            <color theme="1"/>
            <rFont val="Calibri"/>
            <family val="2"/>
            <scheme val="minor"/>
          </rPr>
          <t>Descripción calculada automáticamente a partir de código del artículo</t>
        </r>
      </text>
    </comment>
    <comment ref="D851" authorId="1" shapeId="0" xr:uid="{BD42FED1-13E2-4B42-B0E7-8DDFC0715AC6}">
      <text>
        <r>
          <rPr>
            <sz val="11"/>
            <color theme="1"/>
            <rFont val="Calibri"/>
            <family val="2"/>
            <scheme val="minor"/>
          </rPr>
          <t>Introduzca un número con dos decimales como máximo. Debe ser igual o mayor a la "Cantidad Real Consumida"</t>
        </r>
      </text>
    </comment>
    <comment ref="E851" authorId="1" shapeId="0" xr:uid="{12D0FFA2-EF5B-41AB-8373-DF9E463CA541}">
      <text>
        <r>
          <rPr>
            <sz val="11"/>
            <color theme="1"/>
            <rFont val="Calibri"/>
            <family val="2"/>
            <scheme val="minor"/>
          </rPr>
          <t>Introduzca un número con dos decimales como máximo</t>
        </r>
      </text>
    </comment>
    <comment ref="F851" authorId="1" shapeId="0" xr:uid="{FB68D431-90D0-4D48-8C82-90472773E14B}">
      <text>
        <r>
          <rPr>
            <sz val="11"/>
            <color theme="1"/>
            <rFont val="Calibri"/>
            <family val="2"/>
            <scheme val="minor"/>
          </rPr>
          <t>Monto calculado automáticamente por el sistema</t>
        </r>
      </text>
    </comment>
    <comment ref="A857" authorId="1" shapeId="0" xr:uid="{2151DD43-4CCA-44C4-A1F5-29705E81EE1B}">
      <text>
        <r>
          <rPr>
            <sz val="11"/>
            <color theme="1"/>
            <rFont val="Calibri"/>
            <family val="2"/>
            <scheme val="minor"/>
          </rPr>
          <t>Introducir un texto con el nombre o referencia de la contratación</t>
        </r>
      </text>
    </comment>
    <comment ref="B857" authorId="1" shapeId="0" xr:uid="{AB5A3302-E710-402E-AF6D-2F4BE5CE2FB1}">
      <text>
        <r>
          <rPr>
            <sz val="11"/>
            <color theme="1"/>
            <rFont val="Calibri"/>
            <family val="2"/>
            <scheme val="minor"/>
          </rPr>
          <t>Introducir un texto con el nombre o referencia de la contratación</t>
        </r>
      </text>
    </comment>
    <comment ref="D857" authorId="1" shapeId="0" xr:uid="{68548073-DADE-4EC7-AD99-DEFDAA8498EA}">
      <text>
        <r>
          <rPr>
            <sz val="11"/>
            <color theme="1"/>
            <rFont val="Calibri"/>
            <family val="2"/>
            <scheme val="minor"/>
          </rPr>
          <t>Seleccione el tipo de procedimiento</t>
        </r>
      </text>
    </comment>
    <comment ref="E857" authorId="1" shapeId="0" xr:uid="{21A67006-F1BD-49C5-BA23-BB3C4EDBF66F}">
      <text>
        <r>
          <rPr>
            <sz val="11"/>
            <color theme="1"/>
            <rFont val="Calibri"/>
            <family val="2"/>
            <scheme val="minor"/>
          </rPr>
          <t>Seleccione un valor de la lista</t>
        </r>
      </text>
    </comment>
    <comment ref="F857" authorId="1" shapeId="0" xr:uid="{F9BBB4CE-ADC9-4B9D-BC6A-065CB86942CE}">
      <text>
        <r>
          <rPr>
            <sz val="11"/>
            <color theme="1"/>
            <rFont val="Calibri"/>
            <family val="2"/>
            <scheme val="minor"/>
          </rPr>
          <t>Introduzca el código SNIP</t>
        </r>
      </text>
    </comment>
    <comment ref="F858" authorId="1" shapeId="0" xr:uid="{2EEAE7D1-F2F4-4CBD-9372-B2E2CB240FD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9" authorId="1" shapeId="0" xr:uid="{E3C513D0-2199-43CA-8B5A-5D87BCCF9629}">
      <text/>
    </comment>
    <comment ref="F860" authorId="1" shapeId="0" xr:uid="{A820D514-4CCC-4CF4-9F99-799610DEF331}">
      <text/>
    </comment>
    <comment ref="F861" authorId="1" shapeId="0" xr:uid="{344E26B1-D6E0-40B1-AFA5-F0F4FC6F8FF0}">
      <text/>
    </comment>
    <comment ref="A863" authorId="1" shapeId="0" xr:uid="{BD675343-4980-443A-85D3-DB83B511D7F3}">
      <text>
        <r>
          <rPr>
            <sz val="11"/>
            <color theme="1"/>
            <rFont val="Calibri"/>
            <family val="2"/>
            <scheme val="minor"/>
          </rPr>
          <t>Introduzca un codigo UNSPSC</t>
        </r>
      </text>
    </comment>
    <comment ref="B863" authorId="1" shapeId="0" xr:uid="{5CA43635-FEDF-4288-ACEC-850E129E8B55}">
      <text>
        <r>
          <rPr>
            <sz val="11"/>
            <color theme="1"/>
            <rFont val="Calibri"/>
            <family val="2"/>
            <scheme val="minor"/>
          </rPr>
          <t>Descripción calculada automáticamente a partir de código del artículo</t>
        </r>
      </text>
    </comment>
    <comment ref="D863" authorId="1" shapeId="0" xr:uid="{334E487E-2208-4F40-9EBE-BC72306E5745}">
      <text>
        <r>
          <rPr>
            <sz val="11"/>
            <color theme="1"/>
            <rFont val="Calibri"/>
            <family val="2"/>
            <scheme val="minor"/>
          </rPr>
          <t>Introduzca un número con dos decimales como máximo. Debe ser igual o mayor a la "Cantidad Real Consumida"</t>
        </r>
      </text>
    </comment>
    <comment ref="E863" authorId="1" shapeId="0" xr:uid="{6E54E186-1605-4DB7-9A5A-F675D19C0041}">
      <text>
        <r>
          <rPr>
            <sz val="11"/>
            <color theme="1"/>
            <rFont val="Calibri"/>
            <family val="2"/>
            <scheme val="minor"/>
          </rPr>
          <t>Introduzca un número con dos decimales como máximo</t>
        </r>
      </text>
    </comment>
    <comment ref="F863" authorId="1" shapeId="0" xr:uid="{EED3E37C-ABD9-4C1A-BC6A-6E38374BFDEE}">
      <text>
        <r>
          <rPr>
            <sz val="11"/>
            <color theme="1"/>
            <rFont val="Calibri"/>
            <family val="2"/>
            <scheme val="minor"/>
          </rPr>
          <t>Monto calculado automáticamente por el sistema</t>
        </r>
      </text>
    </comment>
    <comment ref="A871" authorId="1" shapeId="0" xr:uid="{CB56D2C4-2318-49E2-9B7E-7E98A09BE5A0}">
      <text>
        <r>
          <rPr>
            <sz val="11"/>
            <color theme="1"/>
            <rFont val="Calibri"/>
            <family val="2"/>
            <scheme val="minor"/>
          </rPr>
          <t>Introducir un texto con el nombre o referencia de la contratación</t>
        </r>
      </text>
    </comment>
    <comment ref="B871" authorId="1" shapeId="0" xr:uid="{887DBEB3-2BB4-4057-8245-00FE9E422BAB}">
      <text>
        <r>
          <rPr>
            <sz val="11"/>
            <color theme="1"/>
            <rFont val="Calibri"/>
            <family val="2"/>
            <scheme val="minor"/>
          </rPr>
          <t>Introducir un texto con el nombre o referencia de la contratación</t>
        </r>
      </text>
    </comment>
    <comment ref="D871" authorId="1" shapeId="0" xr:uid="{85BE5B3C-0BFA-405B-A798-4EECBC60BBFD}">
      <text>
        <r>
          <rPr>
            <sz val="11"/>
            <color theme="1"/>
            <rFont val="Calibri"/>
            <family val="2"/>
            <scheme val="minor"/>
          </rPr>
          <t>Seleccione el tipo de procedimiento</t>
        </r>
      </text>
    </comment>
    <comment ref="E871" authorId="1" shapeId="0" xr:uid="{B1F2A246-2FDE-4E64-A49F-9ACB25DA878C}">
      <text>
        <r>
          <rPr>
            <sz val="11"/>
            <color theme="1"/>
            <rFont val="Calibri"/>
            <family val="2"/>
            <scheme val="minor"/>
          </rPr>
          <t>Seleccione un valor de la lista</t>
        </r>
      </text>
    </comment>
    <comment ref="F871" authorId="1" shapeId="0" xr:uid="{214ECC80-5B99-4857-AA90-222DAC1E4ECC}">
      <text>
        <r>
          <rPr>
            <sz val="11"/>
            <color theme="1"/>
            <rFont val="Calibri"/>
            <family val="2"/>
            <scheme val="minor"/>
          </rPr>
          <t>Introduzca el código SNIP</t>
        </r>
      </text>
    </comment>
    <comment ref="F872" authorId="1" shapeId="0" xr:uid="{591B5000-5496-47B2-9132-F471F52BAEC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3" authorId="1" shapeId="0" xr:uid="{8DBA293F-E609-4E3F-8935-74C81B098A79}">
      <text/>
    </comment>
    <comment ref="F874" authorId="1" shapeId="0" xr:uid="{17549417-F663-4750-8356-62F34E9D57E1}">
      <text/>
    </comment>
    <comment ref="F875" authorId="1" shapeId="0" xr:uid="{06A3E720-B84C-4C04-8B70-7BF28A6DBC59}">
      <text/>
    </comment>
    <comment ref="A877" authorId="1" shapeId="0" xr:uid="{FE68BE3B-30D0-45B8-9911-206951AB1720}">
      <text>
        <r>
          <rPr>
            <sz val="11"/>
            <color theme="1"/>
            <rFont val="Calibri"/>
            <family val="2"/>
            <scheme val="minor"/>
          </rPr>
          <t>Introduzca un codigo UNSPSC</t>
        </r>
      </text>
    </comment>
    <comment ref="B877" authorId="1" shapeId="0" xr:uid="{931F5BB8-12BB-4DF7-9160-9BD5B53AA86F}">
      <text>
        <r>
          <rPr>
            <sz val="11"/>
            <color theme="1"/>
            <rFont val="Calibri"/>
            <family val="2"/>
            <scheme val="minor"/>
          </rPr>
          <t>Descripción calculada automáticamente a partir de código del artículo</t>
        </r>
      </text>
    </comment>
    <comment ref="D877" authorId="1" shapeId="0" xr:uid="{033EF66A-5FA8-4544-8BD3-B7709D4B3968}">
      <text>
        <r>
          <rPr>
            <sz val="11"/>
            <color theme="1"/>
            <rFont val="Calibri"/>
            <family val="2"/>
            <scheme val="minor"/>
          </rPr>
          <t>Introduzca un número con dos decimales como máximo. Debe ser igual o mayor a la "Cantidad Real Consumida"</t>
        </r>
      </text>
    </comment>
    <comment ref="E877" authorId="1" shapeId="0" xr:uid="{050CE5E4-E1DA-4BDD-B060-FD1879619FB6}">
      <text>
        <r>
          <rPr>
            <sz val="11"/>
            <color theme="1"/>
            <rFont val="Calibri"/>
            <family val="2"/>
            <scheme val="minor"/>
          </rPr>
          <t>Introduzca un número con dos decimales como máximo</t>
        </r>
      </text>
    </comment>
    <comment ref="F877" authorId="1" shapeId="0" xr:uid="{67F14687-68BD-4D03-9FDE-D491BFC5B7B0}">
      <text>
        <r>
          <rPr>
            <sz val="11"/>
            <color theme="1"/>
            <rFont val="Calibri"/>
            <family val="2"/>
            <scheme val="minor"/>
          </rPr>
          <t>Monto calculado automáticamente por el sistema</t>
        </r>
      </text>
    </comment>
    <comment ref="A887" authorId="1" shapeId="0" xr:uid="{953BCE96-DBC5-44FF-B0CC-DE236273F695}">
      <text>
        <r>
          <rPr>
            <sz val="11"/>
            <color theme="1"/>
            <rFont val="Calibri"/>
            <family val="2"/>
            <scheme val="minor"/>
          </rPr>
          <t>Introducir un texto con el nombre o referencia de la contratación</t>
        </r>
      </text>
    </comment>
    <comment ref="B887" authorId="1" shapeId="0" xr:uid="{6CF494FC-FEFB-49BC-BD47-41116A20A547}">
      <text>
        <r>
          <rPr>
            <sz val="11"/>
            <color theme="1"/>
            <rFont val="Calibri"/>
            <family val="2"/>
            <scheme val="minor"/>
          </rPr>
          <t>Introducir un texto con el nombre o referencia de la contratación</t>
        </r>
      </text>
    </comment>
    <comment ref="D887" authorId="1" shapeId="0" xr:uid="{5A836348-BFC9-4602-AD65-4F2CA9900BAA}">
      <text>
        <r>
          <rPr>
            <sz val="11"/>
            <color theme="1"/>
            <rFont val="Calibri"/>
            <family val="2"/>
            <scheme val="minor"/>
          </rPr>
          <t>Seleccione el tipo de procedimiento</t>
        </r>
      </text>
    </comment>
    <comment ref="E887" authorId="1" shapeId="0" xr:uid="{C26FC315-3CD8-48D7-B3EA-214B1C4CBCAC}">
      <text>
        <r>
          <rPr>
            <sz val="11"/>
            <color theme="1"/>
            <rFont val="Calibri"/>
            <family val="2"/>
            <scheme val="minor"/>
          </rPr>
          <t>Seleccione un valor de la lista</t>
        </r>
      </text>
    </comment>
    <comment ref="F887" authorId="1" shapeId="0" xr:uid="{9AFF605B-E395-4B3A-80F6-B44123749645}">
      <text>
        <r>
          <rPr>
            <sz val="11"/>
            <color theme="1"/>
            <rFont val="Calibri"/>
            <family val="2"/>
            <scheme val="minor"/>
          </rPr>
          <t>Introduzca el código SNIP</t>
        </r>
      </text>
    </comment>
    <comment ref="F888" authorId="1" shapeId="0" xr:uid="{CC94E710-5E2A-4E4A-8580-F500D9677DB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9" authorId="1" shapeId="0" xr:uid="{6DCDCF38-DE56-49C9-8507-1E42949E510B}">
      <text/>
    </comment>
    <comment ref="F890" authorId="1" shapeId="0" xr:uid="{F3BC8143-5020-4715-933E-8111F8AAD3CF}">
      <text/>
    </comment>
    <comment ref="F891" authorId="1" shapeId="0" xr:uid="{E69A2BFC-8AF6-4FF9-9F6C-D6E2C58769C8}">
      <text/>
    </comment>
    <comment ref="A893" authorId="1" shapeId="0" xr:uid="{165D2175-0AC0-4D35-B822-255BE063DCC7}">
      <text>
        <r>
          <rPr>
            <sz val="11"/>
            <color theme="1"/>
            <rFont val="Calibri"/>
            <family val="2"/>
            <scheme val="minor"/>
          </rPr>
          <t>Introduzca un codigo UNSPSC</t>
        </r>
      </text>
    </comment>
    <comment ref="B893" authorId="1" shapeId="0" xr:uid="{32969818-E955-4386-B83F-18089035097C}">
      <text>
        <r>
          <rPr>
            <sz val="11"/>
            <color theme="1"/>
            <rFont val="Calibri"/>
            <family val="2"/>
            <scheme val="minor"/>
          </rPr>
          <t>Descripción calculada automáticamente a partir de código del artículo</t>
        </r>
      </text>
    </comment>
    <comment ref="D893" authorId="1" shapeId="0" xr:uid="{C46E8E1F-94BB-410E-96C8-5494EB5A57CE}">
      <text>
        <r>
          <rPr>
            <sz val="11"/>
            <color theme="1"/>
            <rFont val="Calibri"/>
            <family val="2"/>
            <scheme val="minor"/>
          </rPr>
          <t>Introduzca un número con dos decimales como máximo. Debe ser igual o mayor a la "Cantidad Real Consumida"</t>
        </r>
      </text>
    </comment>
    <comment ref="E893" authorId="1" shapeId="0" xr:uid="{39EB33A1-ECAA-406B-8506-EB9BA17487C6}">
      <text>
        <r>
          <rPr>
            <sz val="11"/>
            <color theme="1"/>
            <rFont val="Calibri"/>
            <family val="2"/>
            <scheme val="minor"/>
          </rPr>
          <t>Introduzca un número con dos decimales como máximo</t>
        </r>
      </text>
    </comment>
    <comment ref="F893" authorId="1" shapeId="0" xr:uid="{03CF933F-BF12-4CF6-8830-559A899AAF40}">
      <text>
        <r>
          <rPr>
            <sz val="11"/>
            <color theme="1"/>
            <rFont val="Calibri"/>
            <family val="2"/>
            <scheme val="minor"/>
          </rPr>
          <t>Monto calculado automáticamente por el sistema</t>
        </r>
      </text>
    </comment>
    <comment ref="A911" authorId="1" shapeId="0" xr:uid="{A26DDAA2-D242-470A-AD45-368B5BDB1356}">
      <text>
        <r>
          <rPr>
            <sz val="11"/>
            <color theme="1"/>
            <rFont val="Calibri"/>
            <family val="2"/>
            <scheme val="minor"/>
          </rPr>
          <t>Introducir un texto con el nombre o referencia de la contratación</t>
        </r>
      </text>
    </comment>
    <comment ref="B911" authorId="1" shapeId="0" xr:uid="{1F5E2F55-ED76-493C-BFF4-DE8FF7503AF6}">
      <text>
        <r>
          <rPr>
            <sz val="11"/>
            <color theme="1"/>
            <rFont val="Calibri"/>
            <family val="2"/>
            <scheme val="minor"/>
          </rPr>
          <t>Introducir un texto con el nombre o referencia de la contratación</t>
        </r>
      </text>
    </comment>
    <comment ref="D911" authorId="1" shapeId="0" xr:uid="{C1643D25-22DF-4C4D-B71C-C8886FF9E5F9}">
      <text>
        <r>
          <rPr>
            <sz val="11"/>
            <color theme="1"/>
            <rFont val="Calibri"/>
            <family val="2"/>
            <scheme val="minor"/>
          </rPr>
          <t>Seleccione el tipo de procedimiento</t>
        </r>
      </text>
    </comment>
    <comment ref="E911" authorId="1" shapeId="0" xr:uid="{BEB3FC90-7F5D-49C1-96EF-90B29636BE2D}">
      <text>
        <r>
          <rPr>
            <sz val="11"/>
            <color theme="1"/>
            <rFont val="Calibri"/>
            <family val="2"/>
            <scheme val="minor"/>
          </rPr>
          <t>Seleccione un valor de la lista</t>
        </r>
      </text>
    </comment>
    <comment ref="F911" authorId="1" shapeId="0" xr:uid="{3821B60B-6B8E-40AA-8CFC-E5D75BBC3D37}">
      <text>
        <r>
          <rPr>
            <sz val="11"/>
            <color theme="1"/>
            <rFont val="Calibri"/>
            <family val="2"/>
            <scheme val="minor"/>
          </rPr>
          <t>Introduzca el código SNIP</t>
        </r>
      </text>
    </comment>
    <comment ref="F912" authorId="1" shapeId="0" xr:uid="{00AA9959-C858-4BCE-9D5F-2986112C9E5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3" authorId="1" shapeId="0" xr:uid="{0C70F994-E5BE-4475-970C-711A63B5AEF0}">
      <text/>
    </comment>
    <comment ref="F914" authorId="1" shapeId="0" xr:uid="{C46547AA-F540-467A-A32B-79DC04189BCA}">
      <text/>
    </comment>
    <comment ref="F915" authorId="1" shapeId="0" xr:uid="{85D1DE42-8A12-48EA-9C73-6F52E47D4188}">
      <text/>
    </comment>
    <comment ref="A917" authorId="1" shapeId="0" xr:uid="{44248393-91B7-406A-9850-22B01EFE1398}">
      <text>
        <r>
          <rPr>
            <sz val="11"/>
            <color theme="1"/>
            <rFont val="Calibri"/>
            <family val="2"/>
            <scheme val="minor"/>
          </rPr>
          <t>Introduzca un codigo UNSPSC</t>
        </r>
      </text>
    </comment>
    <comment ref="B917" authorId="1" shapeId="0" xr:uid="{0E6C07FF-2E46-4E96-B7F9-17209D075DB8}">
      <text>
        <r>
          <rPr>
            <sz val="11"/>
            <color theme="1"/>
            <rFont val="Calibri"/>
            <family val="2"/>
            <scheme val="minor"/>
          </rPr>
          <t>Descripción calculada automáticamente a partir de código del artículo</t>
        </r>
      </text>
    </comment>
    <comment ref="D917" authorId="1" shapeId="0" xr:uid="{F24A6FB2-AE9B-4DE7-A0FC-9C196F1270E9}">
      <text>
        <r>
          <rPr>
            <sz val="11"/>
            <color theme="1"/>
            <rFont val="Calibri"/>
            <family val="2"/>
            <scheme val="minor"/>
          </rPr>
          <t>Introduzca un número con dos decimales como máximo. Debe ser igual o mayor a la "Cantidad Real Consumida"</t>
        </r>
      </text>
    </comment>
    <comment ref="E917" authorId="1" shapeId="0" xr:uid="{DAED469F-2E7A-4005-B582-64F9A53686E3}">
      <text>
        <r>
          <rPr>
            <sz val="11"/>
            <color theme="1"/>
            <rFont val="Calibri"/>
            <family val="2"/>
            <scheme val="minor"/>
          </rPr>
          <t>Introduzca un número con dos decimales como máximo</t>
        </r>
      </text>
    </comment>
    <comment ref="F917" authorId="1" shapeId="0" xr:uid="{2182B2FA-AE39-4148-8919-AA47FE856B2D}">
      <text>
        <r>
          <rPr>
            <sz val="11"/>
            <color theme="1"/>
            <rFont val="Calibri"/>
            <family val="2"/>
            <scheme val="minor"/>
          </rPr>
          <t>Monto calculado automáticamente por el sistema</t>
        </r>
      </text>
    </comment>
    <comment ref="A925" authorId="1" shapeId="0" xr:uid="{130B0E9F-1888-47F3-866E-0474DCC31A28}">
      <text>
        <r>
          <rPr>
            <sz val="11"/>
            <color theme="1"/>
            <rFont val="Calibri"/>
            <family val="2"/>
            <scheme val="minor"/>
          </rPr>
          <t>Introducir un texto con el nombre o referencia de la contratación</t>
        </r>
      </text>
    </comment>
    <comment ref="B925" authorId="1" shapeId="0" xr:uid="{E73645A8-1CD2-4B44-A851-815ADEE20F2F}">
      <text>
        <r>
          <rPr>
            <sz val="11"/>
            <color theme="1"/>
            <rFont val="Calibri"/>
            <family val="2"/>
            <scheme val="minor"/>
          </rPr>
          <t>Introducir un texto con el nombre o referencia de la contratación</t>
        </r>
      </text>
    </comment>
    <comment ref="D925" authorId="1" shapeId="0" xr:uid="{0F0C1D5E-38C9-4EC3-92E4-32F868993C22}">
      <text>
        <r>
          <rPr>
            <sz val="11"/>
            <color theme="1"/>
            <rFont val="Calibri"/>
            <family val="2"/>
            <scheme val="minor"/>
          </rPr>
          <t>Seleccione el tipo de procedimiento</t>
        </r>
      </text>
    </comment>
    <comment ref="E925" authorId="1" shapeId="0" xr:uid="{2E27FE8C-EEED-481E-BE6F-CF863B82F9D7}">
      <text>
        <r>
          <rPr>
            <sz val="11"/>
            <color theme="1"/>
            <rFont val="Calibri"/>
            <family val="2"/>
            <scheme val="minor"/>
          </rPr>
          <t>Seleccione un valor de la lista</t>
        </r>
      </text>
    </comment>
    <comment ref="F925" authorId="1" shapeId="0" xr:uid="{33A82960-48E0-4417-9382-5C34712D7908}">
      <text>
        <r>
          <rPr>
            <sz val="11"/>
            <color theme="1"/>
            <rFont val="Calibri"/>
            <family val="2"/>
            <scheme val="minor"/>
          </rPr>
          <t>Introduzca el código SNIP</t>
        </r>
      </text>
    </comment>
    <comment ref="F926" authorId="1" shapeId="0" xr:uid="{BC5E2C5B-C640-4EEB-9A08-EB67379D315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7" authorId="1" shapeId="0" xr:uid="{30E6F9A6-9CAC-47BA-939B-34D34DE135A4}">
      <text/>
    </comment>
    <comment ref="F928" authorId="1" shapeId="0" xr:uid="{19B0DBF6-C07C-45C4-A554-C6670DA2B674}">
      <text/>
    </comment>
    <comment ref="F929" authorId="1" shapeId="0" xr:uid="{E3CEA502-2CED-4B7E-BC82-BB94148BAE04}">
      <text/>
    </comment>
    <comment ref="A931" authorId="1" shapeId="0" xr:uid="{E43724EA-106B-4DBC-B55C-DE8A381A54F5}">
      <text>
        <r>
          <rPr>
            <sz val="11"/>
            <color theme="1"/>
            <rFont val="Calibri"/>
            <family val="2"/>
            <scheme val="minor"/>
          </rPr>
          <t>Introduzca un codigo UNSPSC</t>
        </r>
      </text>
    </comment>
    <comment ref="B931" authorId="1" shapeId="0" xr:uid="{BCCE61E9-1B04-475E-9B8A-818574DBAC8A}">
      <text>
        <r>
          <rPr>
            <sz val="11"/>
            <color theme="1"/>
            <rFont val="Calibri"/>
            <family val="2"/>
            <scheme val="minor"/>
          </rPr>
          <t>Descripción calculada automáticamente a partir de código del artículo</t>
        </r>
      </text>
    </comment>
    <comment ref="D931" authorId="1" shapeId="0" xr:uid="{D9D69016-B3DB-4AE5-92AF-B2885CB9349A}">
      <text>
        <r>
          <rPr>
            <sz val="11"/>
            <color theme="1"/>
            <rFont val="Calibri"/>
            <family val="2"/>
            <scheme val="minor"/>
          </rPr>
          <t>Introduzca un número con dos decimales como máximo. Debe ser igual o mayor a la "Cantidad Real Consumida"</t>
        </r>
      </text>
    </comment>
    <comment ref="E931" authorId="1" shapeId="0" xr:uid="{64E40FF4-975B-4FFA-8C88-6A0A039D0E06}">
      <text>
        <r>
          <rPr>
            <sz val="11"/>
            <color theme="1"/>
            <rFont val="Calibri"/>
            <family val="2"/>
            <scheme val="minor"/>
          </rPr>
          <t>Introduzca un número con dos decimales como máximo</t>
        </r>
      </text>
    </comment>
    <comment ref="F931" authorId="1" shapeId="0" xr:uid="{83CF7DD5-E96F-4E4A-BB27-7F739BA28B8C}">
      <text>
        <r>
          <rPr>
            <sz val="11"/>
            <color theme="1"/>
            <rFont val="Calibri"/>
            <family val="2"/>
            <scheme val="minor"/>
          </rPr>
          <t>Monto calculado automáticamente por el sistema</t>
        </r>
      </text>
    </comment>
    <comment ref="A937" authorId="1" shapeId="0" xr:uid="{7B046D36-6334-478A-8BDC-30A099F8F6BE}">
      <text>
        <r>
          <rPr>
            <sz val="11"/>
            <color theme="1"/>
            <rFont val="Calibri"/>
            <family val="2"/>
            <scheme val="minor"/>
          </rPr>
          <t>Introducir un texto con el nombre o referencia de la contratación</t>
        </r>
      </text>
    </comment>
    <comment ref="B937" authorId="1" shapeId="0" xr:uid="{86555298-A3D4-4A2D-BD2A-ECA8B4686BE3}">
      <text>
        <r>
          <rPr>
            <sz val="11"/>
            <color theme="1"/>
            <rFont val="Calibri"/>
            <family val="2"/>
            <scheme val="minor"/>
          </rPr>
          <t>Introducir un texto con el nombre o referencia de la contratación</t>
        </r>
      </text>
    </comment>
    <comment ref="D937" authorId="1" shapeId="0" xr:uid="{6FD689EF-8047-4501-8E4D-0CDA2B1B81C2}">
      <text>
        <r>
          <rPr>
            <sz val="11"/>
            <color theme="1"/>
            <rFont val="Calibri"/>
            <family val="2"/>
            <scheme val="minor"/>
          </rPr>
          <t>Seleccione el tipo de procedimiento</t>
        </r>
      </text>
    </comment>
    <comment ref="E937" authorId="1" shapeId="0" xr:uid="{2D6C3084-7644-48D9-9457-F80BCFC8ECB5}">
      <text>
        <r>
          <rPr>
            <sz val="11"/>
            <color theme="1"/>
            <rFont val="Calibri"/>
            <family val="2"/>
            <scheme val="minor"/>
          </rPr>
          <t>Seleccione un valor de la lista</t>
        </r>
      </text>
    </comment>
    <comment ref="F937" authorId="1" shapeId="0" xr:uid="{6AD76734-9445-4288-A695-D76740B34F17}">
      <text>
        <r>
          <rPr>
            <sz val="11"/>
            <color theme="1"/>
            <rFont val="Calibri"/>
            <family val="2"/>
            <scheme val="minor"/>
          </rPr>
          <t>Introduzca el código SNIP</t>
        </r>
      </text>
    </comment>
    <comment ref="F938" authorId="1" shapeId="0" xr:uid="{7862A2E5-D5A2-46A1-B05F-7A4A63EFF30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9" authorId="1" shapeId="0" xr:uid="{6C15412E-BA76-4B5A-B8E2-DCBF92A27ECA}">
      <text/>
    </comment>
    <comment ref="F940" authorId="1" shapeId="0" xr:uid="{6A15DAC6-C22F-4607-BB3C-D193BEC73BDD}">
      <text/>
    </comment>
    <comment ref="F941" authorId="1" shapeId="0" xr:uid="{6EEF268F-08DE-4A2C-862E-C0EFDCB8F963}">
      <text/>
    </comment>
    <comment ref="A943" authorId="1" shapeId="0" xr:uid="{42DE29A4-F12E-4CC8-A319-FBFE15F49127}">
      <text>
        <r>
          <rPr>
            <sz val="11"/>
            <color theme="1"/>
            <rFont val="Calibri"/>
            <family val="2"/>
            <scheme val="minor"/>
          </rPr>
          <t>Introduzca un codigo UNSPSC</t>
        </r>
      </text>
    </comment>
    <comment ref="B943" authorId="1" shapeId="0" xr:uid="{EAC605BB-ABB7-482C-9853-4ADCA7D1C532}">
      <text>
        <r>
          <rPr>
            <sz val="11"/>
            <color theme="1"/>
            <rFont val="Calibri"/>
            <family val="2"/>
            <scheme val="minor"/>
          </rPr>
          <t>Descripción calculada automáticamente a partir de código del artículo</t>
        </r>
      </text>
    </comment>
    <comment ref="D943" authorId="1" shapeId="0" xr:uid="{5C28B67B-ED97-4511-A789-1C1A9D901C72}">
      <text>
        <r>
          <rPr>
            <sz val="11"/>
            <color theme="1"/>
            <rFont val="Calibri"/>
            <family val="2"/>
            <scheme val="minor"/>
          </rPr>
          <t>Introduzca un número con dos decimales como máximo. Debe ser igual o mayor a la "Cantidad Real Consumida"</t>
        </r>
      </text>
    </comment>
    <comment ref="E943" authorId="1" shapeId="0" xr:uid="{884E40E7-9DAA-487E-BBBA-FC5C31483679}">
      <text>
        <r>
          <rPr>
            <sz val="11"/>
            <color theme="1"/>
            <rFont val="Calibri"/>
            <family val="2"/>
            <scheme val="minor"/>
          </rPr>
          <t>Introduzca un número con dos decimales como máximo</t>
        </r>
      </text>
    </comment>
    <comment ref="F943" authorId="1" shapeId="0" xr:uid="{53D80299-2726-4287-9000-AFB6883FAD3E}">
      <text>
        <r>
          <rPr>
            <sz val="11"/>
            <color theme="1"/>
            <rFont val="Calibri"/>
            <family val="2"/>
            <scheme val="minor"/>
          </rPr>
          <t>Monto calculado automáticamente por el sistema</t>
        </r>
      </text>
    </comment>
    <comment ref="A953" authorId="1" shapeId="0" xr:uid="{58071C7B-16CF-476C-8C26-FA052B13FB56}">
      <text>
        <r>
          <rPr>
            <sz val="11"/>
            <color theme="1"/>
            <rFont val="Calibri"/>
            <family val="2"/>
            <scheme val="minor"/>
          </rPr>
          <t>Introducir un texto con el nombre o referencia de la contratación</t>
        </r>
      </text>
    </comment>
    <comment ref="B953" authorId="1" shapeId="0" xr:uid="{799A9153-BBC8-4177-941F-AC11CF7066BB}">
      <text>
        <r>
          <rPr>
            <sz val="11"/>
            <color theme="1"/>
            <rFont val="Calibri"/>
            <family val="2"/>
            <scheme val="minor"/>
          </rPr>
          <t>Introducir un texto con el nombre o referencia de la contratación</t>
        </r>
      </text>
    </comment>
    <comment ref="D953" authorId="1" shapeId="0" xr:uid="{0EBF78EF-741F-413D-9DEC-DC5EFCF520F9}">
      <text>
        <r>
          <rPr>
            <sz val="11"/>
            <color theme="1"/>
            <rFont val="Calibri"/>
            <family val="2"/>
            <scheme val="minor"/>
          </rPr>
          <t>Seleccione el tipo de procedimiento</t>
        </r>
      </text>
    </comment>
    <comment ref="E953" authorId="1" shapeId="0" xr:uid="{98E22D2F-6979-4D95-B550-3CFA53905FA0}">
      <text>
        <r>
          <rPr>
            <sz val="11"/>
            <color theme="1"/>
            <rFont val="Calibri"/>
            <family val="2"/>
            <scheme val="minor"/>
          </rPr>
          <t>Seleccione un valor de la lista</t>
        </r>
      </text>
    </comment>
    <comment ref="F953" authorId="1" shapeId="0" xr:uid="{2C82BB72-0599-407E-ADF8-C70BA986E151}">
      <text>
        <r>
          <rPr>
            <sz val="11"/>
            <color theme="1"/>
            <rFont val="Calibri"/>
            <family val="2"/>
            <scheme val="minor"/>
          </rPr>
          <t>Introduzca el código SNIP</t>
        </r>
      </text>
    </comment>
    <comment ref="F954" authorId="1" shapeId="0" xr:uid="{57E703CA-1784-4128-AF02-CBDB11C9EAD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5" authorId="1" shapeId="0" xr:uid="{99B68E8F-0328-481F-89E8-8A475CB57DA6}">
      <text/>
    </comment>
    <comment ref="F956" authorId="1" shapeId="0" xr:uid="{543C9540-70B1-4BC6-8A0B-8E4DC3764952}">
      <text/>
    </comment>
    <comment ref="F957" authorId="1" shapeId="0" xr:uid="{DEFFA1A1-DE86-4DC8-AB05-5C1950F24939}">
      <text/>
    </comment>
    <comment ref="A959" authorId="1" shapeId="0" xr:uid="{6ADA5434-7944-4FD5-AFCF-CCAA9BC89E59}">
      <text>
        <r>
          <rPr>
            <sz val="11"/>
            <color theme="1"/>
            <rFont val="Calibri"/>
            <family val="2"/>
            <scheme val="minor"/>
          </rPr>
          <t>Introduzca un codigo UNSPSC</t>
        </r>
      </text>
    </comment>
    <comment ref="B959" authorId="1" shapeId="0" xr:uid="{EB3D53CA-8AD0-4F36-A9AF-486718EC2DD1}">
      <text>
        <r>
          <rPr>
            <sz val="11"/>
            <color theme="1"/>
            <rFont val="Calibri"/>
            <family val="2"/>
            <scheme val="minor"/>
          </rPr>
          <t>Descripción calculada automáticamente a partir de código del artículo</t>
        </r>
      </text>
    </comment>
    <comment ref="D959" authorId="1" shapeId="0" xr:uid="{598F37E5-CB04-4881-A677-1298A8A5D4FE}">
      <text>
        <r>
          <rPr>
            <sz val="11"/>
            <color theme="1"/>
            <rFont val="Calibri"/>
            <family val="2"/>
            <scheme val="minor"/>
          </rPr>
          <t>Introduzca un número con dos decimales como máximo. Debe ser igual o mayor a la "Cantidad Real Consumida"</t>
        </r>
      </text>
    </comment>
    <comment ref="E959" authorId="1" shapeId="0" xr:uid="{2DAEC7D8-C2BF-482A-8F0F-77F82D96BCC6}">
      <text>
        <r>
          <rPr>
            <sz val="11"/>
            <color theme="1"/>
            <rFont val="Calibri"/>
            <family val="2"/>
            <scheme val="minor"/>
          </rPr>
          <t>Introduzca un número con dos decimales como máximo</t>
        </r>
      </text>
    </comment>
    <comment ref="F959" authorId="1" shapeId="0" xr:uid="{9BA6D154-D01A-443A-9B06-266D634AA296}">
      <text>
        <r>
          <rPr>
            <sz val="11"/>
            <color theme="1"/>
            <rFont val="Calibri"/>
            <family val="2"/>
            <scheme val="minor"/>
          </rPr>
          <t>Monto calculado automáticamente por el sistema</t>
        </r>
      </text>
    </comment>
    <comment ref="A964" authorId="1" shapeId="0" xr:uid="{7D305069-0448-4AF7-936E-688141B06BA8}">
      <text>
        <r>
          <rPr>
            <sz val="11"/>
            <color theme="1"/>
            <rFont val="Calibri"/>
            <family val="2"/>
            <scheme val="minor"/>
          </rPr>
          <t>Introducir un texto con el nombre o referencia de la contratación</t>
        </r>
      </text>
    </comment>
    <comment ref="B964" authorId="1" shapeId="0" xr:uid="{883C915C-1FDC-4657-80E7-6C4E3E301DC6}">
      <text>
        <r>
          <rPr>
            <sz val="11"/>
            <color theme="1"/>
            <rFont val="Calibri"/>
            <family val="2"/>
            <scheme val="minor"/>
          </rPr>
          <t>Introducir un texto con el nombre o referencia de la contratación</t>
        </r>
      </text>
    </comment>
    <comment ref="D964" authorId="1" shapeId="0" xr:uid="{D33C9729-ADDC-4EE5-BCC0-D5D6216BD0B5}">
      <text>
        <r>
          <rPr>
            <sz val="11"/>
            <color theme="1"/>
            <rFont val="Calibri"/>
            <family val="2"/>
            <scheme val="minor"/>
          </rPr>
          <t>Seleccione el tipo de procedimiento</t>
        </r>
      </text>
    </comment>
    <comment ref="E964" authorId="1" shapeId="0" xr:uid="{BD5A92FA-99CB-40B2-AF95-2B26375BF6D3}">
      <text>
        <r>
          <rPr>
            <sz val="11"/>
            <color theme="1"/>
            <rFont val="Calibri"/>
            <family val="2"/>
            <scheme val="minor"/>
          </rPr>
          <t>Seleccione un valor de la lista</t>
        </r>
      </text>
    </comment>
    <comment ref="F964" authorId="1" shapeId="0" xr:uid="{30D8F30B-B6B3-453A-8041-460FCF99D2E2}">
      <text>
        <r>
          <rPr>
            <sz val="11"/>
            <color theme="1"/>
            <rFont val="Calibri"/>
            <family val="2"/>
            <scheme val="minor"/>
          </rPr>
          <t>Introduzca el código SNIP</t>
        </r>
      </text>
    </comment>
    <comment ref="F965" authorId="1" shapeId="0" xr:uid="{48B80A1E-07BE-4378-B758-6656575E803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6" authorId="1" shapeId="0" xr:uid="{05C3E355-45DE-44E0-992C-8ED6AA2FAC8A}">
      <text/>
    </comment>
    <comment ref="F967" authorId="1" shapeId="0" xr:uid="{3A0185AB-951F-494D-8370-C752B710F9A2}">
      <text/>
    </comment>
    <comment ref="F968" authorId="1" shapeId="0" xr:uid="{537DFA09-E9F2-4A59-8211-01314D01919E}">
      <text/>
    </comment>
    <comment ref="A970" authorId="1" shapeId="0" xr:uid="{87948EB7-C93B-4DFE-A7EC-ADCB2B8FEF05}">
      <text>
        <r>
          <rPr>
            <sz val="11"/>
            <color theme="1"/>
            <rFont val="Calibri"/>
            <family val="2"/>
            <scheme val="minor"/>
          </rPr>
          <t>Introduzca un codigo UNSPSC</t>
        </r>
      </text>
    </comment>
    <comment ref="B970" authorId="1" shapeId="0" xr:uid="{3C03AA9A-1DAC-4BD5-962A-0D40CE89D16D}">
      <text>
        <r>
          <rPr>
            <sz val="11"/>
            <color theme="1"/>
            <rFont val="Calibri"/>
            <family val="2"/>
            <scheme val="minor"/>
          </rPr>
          <t>Descripción calculada automáticamente a partir de código del artículo</t>
        </r>
      </text>
    </comment>
    <comment ref="D970" authorId="1" shapeId="0" xr:uid="{E6FDAC86-4A6B-4632-A687-36E498082268}">
      <text>
        <r>
          <rPr>
            <sz val="11"/>
            <color theme="1"/>
            <rFont val="Calibri"/>
            <family val="2"/>
            <scheme val="minor"/>
          </rPr>
          <t>Introduzca un número con dos decimales como máximo. Debe ser igual o mayor a la "Cantidad Real Consumida"</t>
        </r>
      </text>
    </comment>
    <comment ref="E970" authorId="1" shapeId="0" xr:uid="{AFB4578F-9014-40A6-B5B0-E1FE80864896}">
      <text>
        <r>
          <rPr>
            <sz val="11"/>
            <color theme="1"/>
            <rFont val="Calibri"/>
            <family val="2"/>
            <scheme val="minor"/>
          </rPr>
          <t>Introduzca un número con dos decimales como máximo</t>
        </r>
      </text>
    </comment>
    <comment ref="F970" authorId="1" shapeId="0" xr:uid="{43957923-979F-4307-89F5-FC4F7A53B2AE}">
      <text>
        <r>
          <rPr>
            <sz val="11"/>
            <color theme="1"/>
            <rFont val="Calibri"/>
            <family val="2"/>
            <scheme val="minor"/>
          </rPr>
          <t>Monto calculado automáticamente por el sistema</t>
        </r>
      </text>
    </comment>
    <comment ref="A975" authorId="1" shapeId="0" xr:uid="{BDCA3D06-C2A8-44C4-842A-47ABB127F8D7}">
      <text>
        <r>
          <rPr>
            <sz val="11"/>
            <color theme="1"/>
            <rFont val="Calibri"/>
            <family val="2"/>
            <scheme val="minor"/>
          </rPr>
          <t>Introducir un texto con el nombre o referencia de la contratación</t>
        </r>
      </text>
    </comment>
    <comment ref="B975" authorId="1" shapeId="0" xr:uid="{A6AC03B4-8EEC-4B6C-A228-EB0B6D313ED4}">
      <text>
        <r>
          <rPr>
            <sz val="11"/>
            <color theme="1"/>
            <rFont val="Calibri"/>
            <family val="2"/>
            <scheme val="minor"/>
          </rPr>
          <t>Introducir un texto con el nombre o referencia de la contratación</t>
        </r>
      </text>
    </comment>
    <comment ref="D975" authorId="1" shapeId="0" xr:uid="{7AAB0D7C-F78D-4D68-B08A-0C4FE9E34991}">
      <text>
        <r>
          <rPr>
            <sz val="11"/>
            <color theme="1"/>
            <rFont val="Calibri"/>
            <family val="2"/>
            <scheme val="minor"/>
          </rPr>
          <t>Seleccione el tipo de procedimiento</t>
        </r>
      </text>
    </comment>
    <comment ref="E975" authorId="1" shapeId="0" xr:uid="{AA20DBE9-2E9A-412B-B363-ABF463233545}">
      <text>
        <r>
          <rPr>
            <sz val="11"/>
            <color theme="1"/>
            <rFont val="Calibri"/>
            <family val="2"/>
            <scheme val="minor"/>
          </rPr>
          <t>Seleccione un valor de la lista</t>
        </r>
      </text>
    </comment>
    <comment ref="F975" authorId="1" shapeId="0" xr:uid="{5DEF27A2-6F89-496E-A22A-E9C9DD665AE7}">
      <text>
        <r>
          <rPr>
            <sz val="11"/>
            <color theme="1"/>
            <rFont val="Calibri"/>
            <family val="2"/>
            <scheme val="minor"/>
          </rPr>
          <t>Introduzca el código SNIP</t>
        </r>
      </text>
    </comment>
    <comment ref="F976" authorId="1" shapeId="0" xr:uid="{44522588-5372-4C29-BA4B-6E7E250CFDE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7" authorId="1" shapeId="0" xr:uid="{1B7F2801-AACA-4A54-8DF0-47A7C8703814}">
      <text/>
    </comment>
    <comment ref="F978" authorId="1" shapeId="0" xr:uid="{046846F6-F855-474F-BAEF-0A1538341682}">
      <text/>
    </comment>
    <comment ref="F979" authorId="1" shapeId="0" xr:uid="{F81DEABE-86B2-413B-A7E9-F096AA634EF1}">
      <text/>
    </comment>
    <comment ref="A981" authorId="1" shapeId="0" xr:uid="{D8C41A11-2274-4520-A378-9371363B713F}">
      <text>
        <r>
          <rPr>
            <sz val="11"/>
            <color theme="1"/>
            <rFont val="Calibri"/>
            <family val="2"/>
            <scheme val="minor"/>
          </rPr>
          <t>Introduzca un codigo UNSPSC</t>
        </r>
      </text>
    </comment>
    <comment ref="B981" authorId="1" shapeId="0" xr:uid="{DA5F7E2B-892D-4101-A2FE-7E8C86854BC5}">
      <text>
        <r>
          <rPr>
            <sz val="11"/>
            <color theme="1"/>
            <rFont val="Calibri"/>
            <family val="2"/>
            <scheme val="minor"/>
          </rPr>
          <t>Descripción calculada automáticamente a partir de código del artículo</t>
        </r>
      </text>
    </comment>
    <comment ref="D981" authorId="1" shapeId="0" xr:uid="{8B94D78C-8401-4BF0-ADC5-0F34B88150BC}">
      <text>
        <r>
          <rPr>
            <sz val="11"/>
            <color theme="1"/>
            <rFont val="Calibri"/>
            <family val="2"/>
            <scheme val="minor"/>
          </rPr>
          <t>Introduzca un número con dos decimales como máximo. Debe ser igual o mayor a la "Cantidad Real Consumida"</t>
        </r>
      </text>
    </comment>
    <comment ref="E981" authorId="1" shapeId="0" xr:uid="{38DB8B65-D1AB-48CA-BE5B-65D722D15897}">
      <text>
        <r>
          <rPr>
            <sz val="11"/>
            <color theme="1"/>
            <rFont val="Calibri"/>
            <family val="2"/>
            <scheme val="minor"/>
          </rPr>
          <t>Introduzca un número con dos decimales como máximo</t>
        </r>
      </text>
    </comment>
    <comment ref="F981" authorId="1" shapeId="0" xr:uid="{E93CAA7D-5DAF-4811-9F2C-2C930AEFCAFF}">
      <text>
        <r>
          <rPr>
            <sz val="11"/>
            <color theme="1"/>
            <rFont val="Calibri"/>
            <family val="2"/>
            <scheme val="minor"/>
          </rPr>
          <t>Monto calculado automáticamente por el sistema</t>
        </r>
      </text>
    </comment>
    <comment ref="A986" authorId="1" shapeId="0" xr:uid="{3B494497-2F2A-412A-B86C-CDCE13D595DE}">
      <text>
        <r>
          <rPr>
            <sz val="11"/>
            <color theme="1"/>
            <rFont val="Calibri"/>
            <family val="2"/>
            <scheme val="minor"/>
          </rPr>
          <t>Introducir un texto con el nombre o referencia de la contratación</t>
        </r>
      </text>
    </comment>
    <comment ref="B986" authorId="1" shapeId="0" xr:uid="{25A9BF50-5B6B-47F5-8D2A-0A9049D36763}">
      <text>
        <r>
          <rPr>
            <sz val="11"/>
            <color theme="1"/>
            <rFont val="Calibri"/>
            <family val="2"/>
            <scheme val="minor"/>
          </rPr>
          <t>Introducir un texto con el nombre o referencia de la contratación</t>
        </r>
      </text>
    </comment>
    <comment ref="D986" authorId="1" shapeId="0" xr:uid="{DF96B1F0-D206-476F-9330-B04345337AC4}">
      <text>
        <r>
          <rPr>
            <sz val="11"/>
            <color theme="1"/>
            <rFont val="Calibri"/>
            <family val="2"/>
            <scheme val="minor"/>
          </rPr>
          <t>Seleccione el tipo de procedimiento</t>
        </r>
      </text>
    </comment>
    <comment ref="E986" authorId="1" shapeId="0" xr:uid="{7B697B35-67C2-4E7A-A831-707CB7142DB0}">
      <text>
        <r>
          <rPr>
            <sz val="11"/>
            <color theme="1"/>
            <rFont val="Calibri"/>
            <family val="2"/>
            <scheme val="minor"/>
          </rPr>
          <t>Seleccione un valor de la lista</t>
        </r>
      </text>
    </comment>
    <comment ref="F986" authorId="1" shapeId="0" xr:uid="{1BB0361A-8288-49D1-B81B-0F4103AA2A59}">
      <text>
        <r>
          <rPr>
            <sz val="11"/>
            <color theme="1"/>
            <rFont val="Calibri"/>
            <family val="2"/>
            <scheme val="minor"/>
          </rPr>
          <t>Introduzca el código SNIP</t>
        </r>
      </text>
    </comment>
    <comment ref="F987" authorId="1" shapeId="0" xr:uid="{AED3D9F3-5FF6-4FC9-B46C-CE26BB6F40D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8" authorId="1" shapeId="0" xr:uid="{53149BA8-C18D-463A-B847-252B633CF454}">
      <text/>
    </comment>
    <comment ref="F989" authorId="1" shapeId="0" xr:uid="{3D1E723C-B399-4645-A457-75EDDD90A30A}">
      <text/>
    </comment>
    <comment ref="F990" authorId="1" shapeId="0" xr:uid="{D0E52E58-CAB7-47C5-943B-C6DF16F29F06}">
      <text/>
    </comment>
    <comment ref="A992" authorId="1" shapeId="0" xr:uid="{55293091-F4C9-4C98-98C4-8EFC8F7975E2}">
      <text>
        <r>
          <rPr>
            <sz val="11"/>
            <color theme="1"/>
            <rFont val="Calibri"/>
            <family val="2"/>
            <scheme val="minor"/>
          </rPr>
          <t>Introduzca un codigo UNSPSC</t>
        </r>
      </text>
    </comment>
    <comment ref="B992" authorId="1" shapeId="0" xr:uid="{BB340E55-7E86-4643-BA0C-ECCA115F7E90}">
      <text>
        <r>
          <rPr>
            <sz val="11"/>
            <color theme="1"/>
            <rFont val="Calibri"/>
            <family val="2"/>
            <scheme val="minor"/>
          </rPr>
          <t>Descripción calculada automáticamente a partir de código del artículo</t>
        </r>
      </text>
    </comment>
    <comment ref="D992" authorId="1" shapeId="0" xr:uid="{6C58648C-F780-4E34-B7DA-496B17BCD1D2}">
      <text>
        <r>
          <rPr>
            <sz val="11"/>
            <color theme="1"/>
            <rFont val="Calibri"/>
            <family val="2"/>
            <scheme val="minor"/>
          </rPr>
          <t>Introduzca un número con dos decimales como máximo. Debe ser igual o mayor a la "Cantidad Real Consumida"</t>
        </r>
      </text>
    </comment>
    <comment ref="E992" authorId="1" shapeId="0" xr:uid="{284A985C-FAA2-47B6-913F-6B63AB4874EF}">
      <text>
        <r>
          <rPr>
            <sz val="11"/>
            <color theme="1"/>
            <rFont val="Calibri"/>
            <family val="2"/>
            <scheme val="minor"/>
          </rPr>
          <t>Introduzca un número con dos decimales como máximo</t>
        </r>
      </text>
    </comment>
    <comment ref="F992" authorId="1" shapeId="0" xr:uid="{67106FC5-906B-4CF3-A78C-57FA07FB5FB5}">
      <text>
        <r>
          <rPr>
            <sz val="11"/>
            <color theme="1"/>
            <rFont val="Calibri"/>
            <family val="2"/>
            <scheme val="minor"/>
          </rPr>
          <t>Monto calculado automáticamente por el sistema</t>
        </r>
      </text>
    </comment>
    <comment ref="A1000" authorId="1" shapeId="0" xr:uid="{763B1162-FCE2-4B3A-841C-BC6D6567BA78}">
      <text>
        <r>
          <rPr>
            <sz val="11"/>
            <color theme="1"/>
            <rFont val="Calibri"/>
            <family val="2"/>
            <scheme val="minor"/>
          </rPr>
          <t>Introducir un texto con el nombre o referencia de la contratación</t>
        </r>
      </text>
    </comment>
    <comment ref="B1000" authorId="1" shapeId="0" xr:uid="{56F7C51B-59DB-417D-B4A0-720582CFB587}">
      <text>
        <r>
          <rPr>
            <sz val="11"/>
            <color theme="1"/>
            <rFont val="Calibri"/>
            <family val="2"/>
            <scheme val="minor"/>
          </rPr>
          <t>Introducir un texto con el nombre o referencia de la contratación</t>
        </r>
      </text>
    </comment>
    <comment ref="D1000" authorId="1" shapeId="0" xr:uid="{4CFDB294-5DB2-4AFB-A1F3-4FFF93AAECDF}">
      <text>
        <r>
          <rPr>
            <sz val="11"/>
            <color theme="1"/>
            <rFont val="Calibri"/>
            <family val="2"/>
            <scheme val="minor"/>
          </rPr>
          <t>Seleccione el tipo de procedimiento</t>
        </r>
      </text>
    </comment>
    <comment ref="E1000" authorId="1" shapeId="0" xr:uid="{AF40E758-F490-4808-BAA6-ECB40706A2C9}">
      <text>
        <r>
          <rPr>
            <sz val="11"/>
            <color theme="1"/>
            <rFont val="Calibri"/>
            <family val="2"/>
            <scheme val="minor"/>
          </rPr>
          <t>Seleccione un valor de la lista</t>
        </r>
      </text>
    </comment>
    <comment ref="F1000" authorId="1" shapeId="0" xr:uid="{460BB112-2F35-453F-85BB-83A5C80B902D}">
      <text>
        <r>
          <rPr>
            <sz val="11"/>
            <color theme="1"/>
            <rFont val="Calibri"/>
            <family val="2"/>
            <scheme val="minor"/>
          </rPr>
          <t>Introduzca el código SNIP</t>
        </r>
      </text>
    </comment>
    <comment ref="F1001" authorId="1" shapeId="0" xr:uid="{3D6040BA-CED6-4466-96E7-F6986B3B4F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2" authorId="1" shapeId="0" xr:uid="{1C1FC85D-BDE6-43F8-A7F5-844193B5786F}">
      <text/>
    </comment>
    <comment ref="F1003" authorId="1" shapeId="0" xr:uid="{BF253EBF-A02C-405F-A2D5-DB96245EEF33}">
      <text/>
    </comment>
    <comment ref="F1004" authorId="1" shapeId="0" xr:uid="{9E2BB617-7E2E-4FB1-9846-C4EB180214CB}">
      <text/>
    </comment>
    <comment ref="A1006" authorId="1" shapeId="0" xr:uid="{2FC321DC-7E6D-4422-8D6E-BB8AD4091083}">
      <text>
        <r>
          <rPr>
            <sz val="11"/>
            <color theme="1"/>
            <rFont val="Calibri"/>
            <family val="2"/>
            <scheme val="minor"/>
          </rPr>
          <t>Introduzca un codigo UNSPSC</t>
        </r>
      </text>
    </comment>
    <comment ref="B1006" authorId="1" shapeId="0" xr:uid="{3F096EE2-6623-4FB1-8812-0F09EB4B9AA7}">
      <text>
        <r>
          <rPr>
            <sz val="11"/>
            <color theme="1"/>
            <rFont val="Calibri"/>
            <family val="2"/>
            <scheme val="minor"/>
          </rPr>
          <t>Descripción calculada automáticamente a partir de código del artículo</t>
        </r>
      </text>
    </comment>
    <comment ref="D1006" authorId="1" shapeId="0" xr:uid="{B9259CBD-852F-4A6E-983C-614210BC0898}">
      <text>
        <r>
          <rPr>
            <sz val="11"/>
            <color theme="1"/>
            <rFont val="Calibri"/>
            <family val="2"/>
            <scheme val="minor"/>
          </rPr>
          <t>Introduzca un número con dos decimales como máximo. Debe ser igual o mayor a la "Cantidad Real Consumida"</t>
        </r>
      </text>
    </comment>
    <comment ref="E1006" authorId="1" shapeId="0" xr:uid="{D4DE371B-8845-460E-91F8-A5AA5DB94022}">
      <text>
        <r>
          <rPr>
            <sz val="11"/>
            <color theme="1"/>
            <rFont val="Calibri"/>
            <family val="2"/>
            <scheme val="minor"/>
          </rPr>
          <t>Introduzca un número con dos decimales como máximo</t>
        </r>
      </text>
    </comment>
    <comment ref="F1006" authorId="1" shapeId="0" xr:uid="{3EDDE188-557B-40CB-A08B-E559110E09E5}">
      <text>
        <r>
          <rPr>
            <sz val="11"/>
            <color theme="1"/>
            <rFont val="Calibri"/>
            <family val="2"/>
            <scheme val="minor"/>
          </rPr>
          <t>Monto calculado automáticamente por el sistema</t>
        </r>
      </text>
    </comment>
    <comment ref="A1012" authorId="1" shapeId="0" xr:uid="{5D4B7ED2-74E3-4AC5-A52A-B835573643FA}">
      <text>
        <r>
          <rPr>
            <sz val="11"/>
            <color theme="1"/>
            <rFont val="Calibri"/>
            <family val="2"/>
            <scheme val="minor"/>
          </rPr>
          <t>Introducir un texto con el nombre o referencia de la contratación</t>
        </r>
      </text>
    </comment>
    <comment ref="B1012" authorId="1" shapeId="0" xr:uid="{899AA15A-522E-4EB8-9C67-9B649C653F94}">
      <text>
        <r>
          <rPr>
            <sz val="11"/>
            <color theme="1"/>
            <rFont val="Calibri"/>
            <family val="2"/>
            <scheme val="minor"/>
          </rPr>
          <t>Introducir un texto con el nombre o referencia de la contratación</t>
        </r>
      </text>
    </comment>
    <comment ref="D1012" authorId="1" shapeId="0" xr:uid="{EA5A502C-33AC-4525-9410-6F557105A09A}">
      <text>
        <r>
          <rPr>
            <sz val="11"/>
            <color theme="1"/>
            <rFont val="Calibri"/>
            <family val="2"/>
            <scheme val="minor"/>
          </rPr>
          <t>Seleccione el tipo de procedimiento</t>
        </r>
      </text>
    </comment>
    <comment ref="E1012" authorId="1" shapeId="0" xr:uid="{28B1F3F0-A5F0-4A60-95F6-76A3C83ADE94}">
      <text>
        <r>
          <rPr>
            <sz val="11"/>
            <color theme="1"/>
            <rFont val="Calibri"/>
            <family val="2"/>
            <scheme val="minor"/>
          </rPr>
          <t>Seleccione un valor de la lista</t>
        </r>
      </text>
    </comment>
    <comment ref="F1012" authorId="1" shapeId="0" xr:uid="{9E9B394F-4BB0-4403-B7C0-0735DD754F66}">
      <text>
        <r>
          <rPr>
            <sz val="11"/>
            <color theme="1"/>
            <rFont val="Calibri"/>
            <family val="2"/>
            <scheme val="minor"/>
          </rPr>
          <t>Introduzca el código SNIP</t>
        </r>
      </text>
    </comment>
    <comment ref="F1013" authorId="1" shapeId="0" xr:uid="{CE07B34B-94F1-45D2-A43F-69C55B03780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4" authorId="1" shapeId="0" xr:uid="{0F3B73D5-DCF0-4494-94FC-68311827101C}">
      <text/>
    </comment>
    <comment ref="F1015" authorId="1" shapeId="0" xr:uid="{5AD642B4-D683-4A08-AF99-738EA816EC5E}">
      <text/>
    </comment>
    <comment ref="F1016" authorId="1" shapeId="0" xr:uid="{12661B29-D735-4AF5-B15A-6300ECF3463C}">
      <text/>
    </comment>
    <comment ref="A1018" authorId="1" shapeId="0" xr:uid="{0A5A3643-8BF9-4AD2-811D-DF8E0036E250}">
      <text>
        <r>
          <rPr>
            <sz val="11"/>
            <color theme="1"/>
            <rFont val="Calibri"/>
            <family val="2"/>
            <scheme val="minor"/>
          </rPr>
          <t>Introduzca un codigo UNSPSC</t>
        </r>
      </text>
    </comment>
    <comment ref="B1018" authorId="1" shapeId="0" xr:uid="{F5A48005-5410-48AC-8028-1EE1F1B1158C}">
      <text>
        <r>
          <rPr>
            <sz val="11"/>
            <color theme="1"/>
            <rFont val="Calibri"/>
            <family val="2"/>
            <scheme val="minor"/>
          </rPr>
          <t>Descripción calculada automáticamente a partir de código del artículo</t>
        </r>
      </text>
    </comment>
    <comment ref="D1018" authorId="1" shapeId="0" xr:uid="{37A26364-BDE0-473A-8947-3937CA92FE0C}">
      <text>
        <r>
          <rPr>
            <sz val="11"/>
            <color theme="1"/>
            <rFont val="Calibri"/>
            <family val="2"/>
            <scheme val="minor"/>
          </rPr>
          <t>Introduzca un número con dos decimales como máximo. Debe ser igual o mayor a la "Cantidad Real Consumida"</t>
        </r>
      </text>
    </comment>
    <comment ref="E1018" authorId="1" shapeId="0" xr:uid="{A8E461D7-AF65-4034-80FA-5BB0267A2D53}">
      <text>
        <r>
          <rPr>
            <sz val="11"/>
            <color theme="1"/>
            <rFont val="Calibri"/>
            <family val="2"/>
            <scheme val="minor"/>
          </rPr>
          <t>Introduzca un número con dos decimales como máximo</t>
        </r>
      </text>
    </comment>
    <comment ref="F1018" authorId="1" shapeId="0" xr:uid="{0F4E7E1F-079D-4E85-BCE4-7D2CCD2FB010}">
      <text>
        <r>
          <rPr>
            <sz val="11"/>
            <color theme="1"/>
            <rFont val="Calibri"/>
            <family val="2"/>
            <scheme val="minor"/>
          </rPr>
          <t>Monto calculado automáticamente por el sistema</t>
        </r>
      </text>
    </comment>
    <comment ref="A1024" authorId="1" shapeId="0" xr:uid="{4439809F-D7DD-4DB1-8A46-7DBFEB4313E1}">
      <text>
        <r>
          <rPr>
            <sz val="11"/>
            <color theme="1"/>
            <rFont val="Calibri"/>
            <family val="2"/>
            <scheme val="minor"/>
          </rPr>
          <t>Introducir un texto con el nombre o referencia de la contratación</t>
        </r>
      </text>
    </comment>
    <comment ref="B1024" authorId="1" shapeId="0" xr:uid="{D87C5A30-1A31-41C6-AF12-ED222F8FBAD2}">
      <text>
        <r>
          <rPr>
            <sz val="11"/>
            <color theme="1"/>
            <rFont val="Calibri"/>
            <family val="2"/>
            <scheme val="minor"/>
          </rPr>
          <t>Introducir un texto con el nombre o referencia de la contratación</t>
        </r>
      </text>
    </comment>
    <comment ref="D1024" authorId="1" shapeId="0" xr:uid="{400F39C7-E905-40A9-950E-3D2E03A44FEE}">
      <text>
        <r>
          <rPr>
            <sz val="11"/>
            <color theme="1"/>
            <rFont val="Calibri"/>
            <family val="2"/>
            <scheme val="minor"/>
          </rPr>
          <t>Seleccione el tipo de procedimiento</t>
        </r>
      </text>
    </comment>
    <comment ref="E1024" authorId="1" shapeId="0" xr:uid="{6AD9BD04-EFB9-4180-ADA5-94EC4ED824D8}">
      <text>
        <r>
          <rPr>
            <sz val="11"/>
            <color theme="1"/>
            <rFont val="Calibri"/>
            <family val="2"/>
            <scheme val="minor"/>
          </rPr>
          <t>Seleccione un valor de la lista</t>
        </r>
      </text>
    </comment>
    <comment ref="F1024" authorId="1" shapeId="0" xr:uid="{BA6E6F5E-2B00-4847-AB24-300FA00E91F5}">
      <text>
        <r>
          <rPr>
            <sz val="11"/>
            <color theme="1"/>
            <rFont val="Calibri"/>
            <family val="2"/>
            <scheme val="minor"/>
          </rPr>
          <t>Introduzca el código SNIP</t>
        </r>
      </text>
    </comment>
    <comment ref="F1025" authorId="1" shapeId="0" xr:uid="{0A1E3052-EE6F-410F-9326-E14842FD31C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6" authorId="1" shapeId="0" xr:uid="{8384DC11-F692-4AFD-8A2A-BFE92E930156}">
      <text/>
    </comment>
    <comment ref="F1027" authorId="1" shapeId="0" xr:uid="{275DEECE-5036-433D-9343-202E41B4281D}">
      <text/>
    </comment>
    <comment ref="F1028" authorId="1" shapeId="0" xr:uid="{80EB5F3D-366E-4702-8CE6-B3518D9B1BE2}">
      <text/>
    </comment>
    <comment ref="A1030" authorId="1" shapeId="0" xr:uid="{707607EC-BCAF-4045-8414-10B5020AC530}">
      <text>
        <r>
          <rPr>
            <sz val="11"/>
            <color theme="1"/>
            <rFont val="Calibri"/>
            <family val="2"/>
            <scheme val="minor"/>
          </rPr>
          <t>Introduzca un codigo UNSPSC</t>
        </r>
      </text>
    </comment>
    <comment ref="B1030" authorId="1" shapeId="0" xr:uid="{4B08EB52-C17F-42D8-A152-086F42748A5C}">
      <text>
        <r>
          <rPr>
            <sz val="11"/>
            <color theme="1"/>
            <rFont val="Calibri"/>
            <family val="2"/>
            <scheme val="minor"/>
          </rPr>
          <t>Descripción calculada automáticamente a partir de código del artículo</t>
        </r>
      </text>
    </comment>
    <comment ref="D1030" authorId="1" shapeId="0" xr:uid="{CEF47036-40A5-4B4B-9B37-F4C444782761}">
      <text>
        <r>
          <rPr>
            <sz val="11"/>
            <color theme="1"/>
            <rFont val="Calibri"/>
            <family val="2"/>
            <scheme val="minor"/>
          </rPr>
          <t>Introduzca un número con dos decimales como máximo. Debe ser igual o mayor a la "Cantidad Real Consumida"</t>
        </r>
      </text>
    </comment>
    <comment ref="E1030" authorId="1" shapeId="0" xr:uid="{DB46A29D-207D-47D1-89A2-47D7791F1569}">
      <text>
        <r>
          <rPr>
            <sz val="11"/>
            <color theme="1"/>
            <rFont val="Calibri"/>
            <family val="2"/>
            <scheme val="minor"/>
          </rPr>
          <t>Introduzca un número con dos decimales como máximo</t>
        </r>
      </text>
    </comment>
    <comment ref="F1030" authorId="1" shapeId="0" xr:uid="{1ADCDDC8-2B4B-4FE4-8148-BFEE41B27A71}">
      <text>
        <r>
          <rPr>
            <sz val="11"/>
            <color theme="1"/>
            <rFont val="Calibri"/>
            <family val="2"/>
            <scheme val="minor"/>
          </rPr>
          <t>Monto calculado automáticamente por el sistema</t>
        </r>
      </text>
    </comment>
    <comment ref="A1036" authorId="1" shapeId="0" xr:uid="{F497BB2E-4678-420A-851E-B91B16896C1D}">
      <text>
        <r>
          <rPr>
            <sz val="11"/>
            <color theme="1"/>
            <rFont val="Calibri"/>
            <family val="2"/>
            <scheme val="minor"/>
          </rPr>
          <t>Introducir un texto con el nombre o referencia de la contratación</t>
        </r>
      </text>
    </comment>
    <comment ref="B1036" authorId="1" shapeId="0" xr:uid="{F040E23E-B134-4AF0-8262-1B121834BA72}">
      <text>
        <r>
          <rPr>
            <sz val="11"/>
            <color theme="1"/>
            <rFont val="Calibri"/>
            <family val="2"/>
            <scheme val="minor"/>
          </rPr>
          <t>Introducir un texto con el nombre o referencia de la contratación</t>
        </r>
      </text>
    </comment>
    <comment ref="D1036" authorId="1" shapeId="0" xr:uid="{99564389-39CE-4F28-B9D6-1E0973368DB0}">
      <text>
        <r>
          <rPr>
            <sz val="11"/>
            <color theme="1"/>
            <rFont val="Calibri"/>
            <family val="2"/>
            <scheme val="minor"/>
          </rPr>
          <t>Seleccione el tipo de procedimiento</t>
        </r>
      </text>
    </comment>
    <comment ref="E1036" authorId="1" shapeId="0" xr:uid="{66E66EAD-A26A-4189-8332-03BF02A3CC43}">
      <text>
        <r>
          <rPr>
            <sz val="11"/>
            <color theme="1"/>
            <rFont val="Calibri"/>
            <family val="2"/>
            <scheme val="minor"/>
          </rPr>
          <t>Seleccione un valor de la lista</t>
        </r>
      </text>
    </comment>
    <comment ref="F1036" authorId="1" shapeId="0" xr:uid="{862081E2-3AFD-4E53-87CA-CF856A459B17}">
      <text>
        <r>
          <rPr>
            <sz val="11"/>
            <color theme="1"/>
            <rFont val="Calibri"/>
            <family val="2"/>
            <scheme val="minor"/>
          </rPr>
          <t>Introduzca el código SNIP</t>
        </r>
      </text>
    </comment>
    <comment ref="F1037" authorId="1" shapeId="0" xr:uid="{CEDEC932-3F92-4AB1-84B9-DB247BC13D3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8" authorId="1" shapeId="0" xr:uid="{E639D941-1D74-45E3-9D9F-9424053C7D66}">
      <text/>
    </comment>
    <comment ref="F1039" authorId="1" shapeId="0" xr:uid="{43D33231-FCF6-446D-A8ED-B18CE54488A9}">
      <text/>
    </comment>
    <comment ref="F1040" authorId="1" shapeId="0" xr:uid="{7A230944-4ADB-4BCC-A3EF-7F1391D1DD2D}">
      <text/>
    </comment>
    <comment ref="A1042" authorId="1" shapeId="0" xr:uid="{6D6D33AE-2912-4B7E-B0EF-57D4E3D67692}">
      <text>
        <r>
          <rPr>
            <sz val="11"/>
            <color theme="1"/>
            <rFont val="Calibri"/>
            <family val="2"/>
            <scheme val="minor"/>
          </rPr>
          <t>Introduzca un codigo UNSPSC</t>
        </r>
      </text>
    </comment>
    <comment ref="B1042" authorId="1" shapeId="0" xr:uid="{8F305806-9183-4FF3-86F5-C2E7C3403EF0}">
      <text>
        <r>
          <rPr>
            <sz val="11"/>
            <color theme="1"/>
            <rFont val="Calibri"/>
            <family val="2"/>
            <scheme val="minor"/>
          </rPr>
          <t>Descripción calculada automáticamente a partir de código del artículo</t>
        </r>
      </text>
    </comment>
    <comment ref="D1042" authorId="1" shapeId="0" xr:uid="{00F020C9-B718-4294-8EFD-16D02C21B1FD}">
      <text>
        <r>
          <rPr>
            <sz val="11"/>
            <color theme="1"/>
            <rFont val="Calibri"/>
            <family val="2"/>
            <scheme val="minor"/>
          </rPr>
          <t>Introduzca un número con dos decimales como máximo. Debe ser igual o mayor a la "Cantidad Real Consumida"</t>
        </r>
      </text>
    </comment>
    <comment ref="E1042" authorId="1" shapeId="0" xr:uid="{D32D166C-F2FD-4311-BFD8-D23EF19A46E7}">
      <text>
        <r>
          <rPr>
            <sz val="11"/>
            <color theme="1"/>
            <rFont val="Calibri"/>
            <family val="2"/>
            <scheme val="minor"/>
          </rPr>
          <t>Introduzca un número con dos decimales como máximo</t>
        </r>
      </text>
    </comment>
    <comment ref="F1042" authorId="1" shapeId="0" xr:uid="{CC87BC4F-45B1-472C-809D-9A8BCB64AB73}">
      <text>
        <r>
          <rPr>
            <sz val="11"/>
            <color theme="1"/>
            <rFont val="Calibri"/>
            <family val="2"/>
            <scheme val="minor"/>
          </rPr>
          <t>Monto calculado automáticamente por el sistema</t>
        </r>
      </text>
    </comment>
    <comment ref="A1047" authorId="1" shapeId="0" xr:uid="{13665EDB-105F-4B34-BEDC-ED7A40795ACA}">
      <text>
        <r>
          <rPr>
            <sz val="11"/>
            <color theme="1"/>
            <rFont val="Calibri"/>
            <family val="2"/>
            <scheme val="minor"/>
          </rPr>
          <t>Introducir un texto con el nombre o referencia de la contratación</t>
        </r>
      </text>
    </comment>
    <comment ref="B1047" authorId="1" shapeId="0" xr:uid="{B0A48A47-CA60-4F1E-9FEC-B3C0CE104F8B}">
      <text>
        <r>
          <rPr>
            <sz val="11"/>
            <color theme="1"/>
            <rFont val="Calibri"/>
            <family val="2"/>
            <scheme val="minor"/>
          </rPr>
          <t>Introducir un texto con el nombre o referencia de la contratación</t>
        </r>
      </text>
    </comment>
    <comment ref="D1047" authorId="1" shapeId="0" xr:uid="{0FE98F87-A08E-4A15-9F1A-B2E9D16C7E16}">
      <text>
        <r>
          <rPr>
            <sz val="11"/>
            <color theme="1"/>
            <rFont val="Calibri"/>
            <family val="2"/>
            <scheme val="minor"/>
          </rPr>
          <t>Seleccione el tipo de procedimiento</t>
        </r>
      </text>
    </comment>
    <comment ref="E1047" authorId="1" shapeId="0" xr:uid="{EA622CB9-E0C7-4889-A8A3-65C22FF315E4}">
      <text>
        <r>
          <rPr>
            <sz val="11"/>
            <color theme="1"/>
            <rFont val="Calibri"/>
            <family val="2"/>
            <scheme val="minor"/>
          </rPr>
          <t>Seleccione un valor de la lista</t>
        </r>
      </text>
    </comment>
    <comment ref="F1047" authorId="1" shapeId="0" xr:uid="{5C22A93E-8FD4-4580-A5F5-929A232359A4}">
      <text>
        <r>
          <rPr>
            <sz val="11"/>
            <color theme="1"/>
            <rFont val="Calibri"/>
            <family val="2"/>
            <scheme val="minor"/>
          </rPr>
          <t>Introduzca el código SNIP</t>
        </r>
      </text>
    </comment>
    <comment ref="F1048" authorId="1" shapeId="0" xr:uid="{E3D68A2B-2BB0-45D5-A4B4-BCF76EDBA10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9" authorId="1" shapeId="0" xr:uid="{49754AFE-D129-4A84-BA59-E7728E905D49}">
      <text/>
    </comment>
    <comment ref="F1050" authorId="1" shapeId="0" xr:uid="{314A3E1C-DB3A-4BF2-98B6-A109651E6D83}">
      <text/>
    </comment>
    <comment ref="F1051" authorId="1" shapeId="0" xr:uid="{BD734DE9-6D33-4DFC-982F-880744BB11F0}">
      <text/>
    </comment>
    <comment ref="A1053" authorId="1" shapeId="0" xr:uid="{10A3263E-22AA-4E9E-8D7B-D973D3E7419B}">
      <text>
        <r>
          <rPr>
            <sz val="11"/>
            <color theme="1"/>
            <rFont val="Calibri"/>
            <family val="2"/>
            <scheme val="minor"/>
          </rPr>
          <t>Introduzca un codigo UNSPSC</t>
        </r>
      </text>
    </comment>
    <comment ref="B1053" authorId="1" shapeId="0" xr:uid="{87C2C517-DB7D-45E0-A335-DF107EABD471}">
      <text>
        <r>
          <rPr>
            <sz val="11"/>
            <color theme="1"/>
            <rFont val="Calibri"/>
            <family val="2"/>
            <scheme val="minor"/>
          </rPr>
          <t>Descripción calculada automáticamente a partir de código del artículo</t>
        </r>
      </text>
    </comment>
    <comment ref="D1053" authorId="1" shapeId="0" xr:uid="{416585B6-9D92-4C84-B32B-9BE9CC5B78D0}">
      <text>
        <r>
          <rPr>
            <sz val="11"/>
            <color theme="1"/>
            <rFont val="Calibri"/>
            <family val="2"/>
            <scheme val="minor"/>
          </rPr>
          <t>Introduzca un número con dos decimales como máximo. Debe ser igual o mayor a la "Cantidad Real Consumida"</t>
        </r>
      </text>
    </comment>
    <comment ref="E1053" authorId="1" shapeId="0" xr:uid="{94F3909E-510F-406B-B5D0-617A84BF4BFA}">
      <text>
        <r>
          <rPr>
            <sz val="11"/>
            <color theme="1"/>
            <rFont val="Calibri"/>
            <family val="2"/>
            <scheme val="minor"/>
          </rPr>
          <t>Introduzca un número con dos decimales como máximo</t>
        </r>
      </text>
    </comment>
    <comment ref="F1053" authorId="1" shapeId="0" xr:uid="{0DEBDD1D-FE75-4CF1-B29A-7FAB5070CBB2}">
      <text>
        <r>
          <rPr>
            <sz val="11"/>
            <color theme="1"/>
            <rFont val="Calibri"/>
            <family val="2"/>
            <scheme val="minor"/>
          </rPr>
          <t>Monto calculado automáticamente por el sistema</t>
        </r>
      </text>
    </comment>
    <comment ref="A1060" authorId="1" shapeId="0" xr:uid="{A2E55FD4-AC30-4C6F-A0D9-F3E9F0301590}">
      <text>
        <r>
          <rPr>
            <sz val="11"/>
            <color theme="1"/>
            <rFont val="Calibri"/>
            <family val="2"/>
            <scheme val="minor"/>
          </rPr>
          <t>Introducir un texto con el nombre o referencia de la contratación</t>
        </r>
      </text>
    </comment>
    <comment ref="B1060" authorId="1" shapeId="0" xr:uid="{07F1E95E-8B8E-47DF-96EE-7009F2DDDE76}">
      <text>
        <r>
          <rPr>
            <sz val="11"/>
            <color theme="1"/>
            <rFont val="Calibri"/>
            <family val="2"/>
            <scheme val="minor"/>
          </rPr>
          <t>Introducir un texto con el nombre o referencia de la contratación</t>
        </r>
      </text>
    </comment>
    <comment ref="D1060" authorId="1" shapeId="0" xr:uid="{9E8CD67C-F539-4882-AEF7-48238D0F994A}">
      <text>
        <r>
          <rPr>
            <sz val="11"/>
            <color theme="1"/>
            <rFont val="Calibri"/>
            <family val="2"/>
            <scheme val="minor"/>
          </rPr>
          <t>Seleccione el tipo de procedimiento</t>
        </r>
      </text>
    </comment>
    <comment ref="E1060" authorId="1" shapeId="0" xr:uid="{A33372E8-0BEE-4E5E-B828-C58595B1B6A6}">
      <text>
        <r>
          <rPr>
            <sz val="11"/>
            <color theme="1"/>
            <rFont val="Calibri"/>
            <family val="2"/>
            <scheme val="minor"/>
          </rPr>
          <t>Seleccione un valor de la lista</t>
        </r>
      </text>
    </comment>
    <comment ref="F1060" authorId="1" shapeId="0" xr:uid="{795E8AA6-7BE3-4655-AAA1-6CA83C141C27}">
      <text>
        <r>
          <rPr>
            <sz val="11"/>
            <color theme="1"/>
            <rFont val="Calibri"/>
            <family val="2"/>
            <scheme val="minor"/>
          </rPr>
          <t>Introduzca el código SNIP</t>
        </r>
      </text>
    </comment>
    <comment ref="F1061" authorId="1" shapeId="0" xr:uid="{5DB22F38-1A0D-4DF5-AED9-91A756BF270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2" authorId="1" shapeId="0" xr:uid="{0534EB95-E9EF-4245-804D-F9FA2260AF6B}">
      <text/>
    </comment>
    <comment ref="F1063" authorId="1" shapeId="0" xr:uid="{ED61C278-BD90-40BF-89CA-38BFAB1CBA2A}">
      <text/>
    </comment>
    <comment ref="F1064" authorId="1" shapeId="0" xr:uid="{DB0ECB50-B4DE-4B24-BF4F-A95D97926B86}">
      <text/>
    </comment>
    <comment ref="A1066" authorId="1" shapeId="0" xr:uid="{C3362F0B-DF42-44CD-91FF-2FD0F03B6CDB}">
      <text>
        <r>
          <rPr>
            <sz val="11"/>
            <color theme="1"/>
            <rFont val="Calibri"/>
            <family val="2"/>
            <scheme val="minor"/>
          </rPr>
          <t>Introduzca un codigo UNSPSC</t>
        </r>
      </text>
    </comment>
    <comment ref="B1066" authorId="1" shapeId="0" xr:uid="{0BA8BFB1-803D-4362-B382-6CB658D48766}">
      <text>
        <r>
          <rPr>
            <sz val="11"/>
            <color theme="1"/>
            <rFont val="Calibri"/>
            <family val="2"/>
            <scheme val="minor"/>
          </rPr>
          <t>Descripción calculada automáticamente a partir de código del artículo</t>
        </r>
      </text>
    </comment>
    <comment ref="D1066" authorId="1" shapeId="0" xr:uid="{EB1A08EB-21DF-4D3A-8E0F-EDFB37D91EB0}">
      <text>
        <r>
          <rPr>
            <sz val="11"/>
            <color theme="1"/>
            <rFont val="Calibri"/>
            <family val="2"/>
            <scheme val="minor"/>
          </rPr>
          <t>Introduzca un número con dos decimales como máximo. Debe ser igual o mayor a la "Cantidad Real Consumida"</t>
        </r>
      </text>
    </comment>
    <comment ref="E1066" authorId="1" shapeId="0" xr:uid="{263DD30A-FD11-4A59-9FEF-AAB7BC0EF1DC}">
      <text>
        <r>
          <rPr>
            <sz val="11"/>
            <color theme="1"/>
            <rFont val="Calibri"/>
            <family val="2"/>
            <scheme val="minor"/>
          </rPr>
          <t>Introduzca un número con dos decimales como máximo</t>
        </r>
      </text>
    </comment>
    <comment ref="F1066" authorId="1" shapeId="0" xr:uid="{EFD8B109-DF43-43BC-85B1-0E246E12F236}">
      <text>
        <r>
          <rPr>
            <sz val="11"/>
            <color theme="1"/>
            <rFont val="Calibri"/>
            <family val="2"/>
            <scheme val="minor"/>
          </rPr>
          <t>Monto calculado automáticamente por el sistema</t>
        </r>
      </text>
    </comment>
    <comment ref="A1075" authorId="1" shapeId="0" xr:uid="{03446A82-5071-4FAD-A8C0-A81A2E00DD51}">
      <text>
        <r>
          <rPr>
            <sz val="11"/>
            <color theme="1"/>
            <rFont val="Calibri"/>
            <family val="2"/>
            <scheme val="minor"/>
          </rPr>
          <t>Introducir un texto con el nombre o referencia de la contratación</t>
        </r>
      </text>
    </comment>
    <comment ref="B1075" authorId="1" shapeId="0" xr:uid="{DC8A4328-87B6-4B3D-8615-34737D1A1397}">
      <text>
        <r>
          <rPr>
            <sz val="11"/>
            <color theme="1"/>
            <rFont val="Calibri"/>
            <family val="2"/>
            <scheme val="minor"/>
          </rPr>
          <t>Introducir un texto con el nombre o referencia de la contratación</t>
        </r>
      </text>
    </comment>
    <comment ref="D1075" authorId="1" shapeId="0" xr:uid="{241FD9A2-C611-488D-A01A-55470C6E8E01}">
      <text>
        <r>
          <rPr>
            <sz val="11"/>
            <color theme="1"/>
            <rFont val="Calibri"/>
            <family val="2"/>
            <scheme val="minor"/>
          </rPr>
          <t>Seleccione el tipo de procedimiento</t>
        </r>
      </text>
    </comment>
    <comment ref="E1075" authorId="1" shapeId="0" xr:uid="{D9062A89-FFFF-4100-AEB9-D7CDF79674AA}">
      <text>
        <r>
          <rPr>
            <sz val="11"/>
            <color theme="1"/>
            <rFont val="Calibri"/>
            <family val="2"/>
            <scheme val="minor"/>
          </rPr>
          <t>Seleccione un valor de la lista</t>
        </r>
      </text>
    </comment>
    <comment ref="F1075" authorId="1" shapeId="0" xr:uid="{649F76CC-61B5-49EA-8CE9-F5BE96DA4E04}">
      <text>
        <r>
          <rPr>
            <sz val="11"/>
            <color theme="1"/>
            <rFont val="Calibri"/>
            <family val="2"/>
            <scheme val="minor"/>
          </rPr>
          <t>Introduzca el código SNIP</t>
        </r>
      </text>
    </comment>
    <comment ref="F1076" authorId="1" shapeId="0" xr:uid="{48DBD136-2B74-4378-9A1D-DCDBAAB6761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7" authorId="1" shapeId="0" xr:uid="{31D4682D-041F-409A-BB19-9FCD8C53266C}">
      <text/>
    </comment>
    <comment ref="F1078" authorId="1" shapeId="0" xr:uid="{F2765EA7-03E9-4128-8943-6480C4866921}">
      <text/>
    </comment>
    <comment ref="F1079" authorId="1" shapeId="0" xr:uid="{AD0C0EA0-4DDD-47AA-BFC8-CAB98A4E3017}">
      <text/>
    </comment>
    <comment ref="A1081" authorId="1" shapeId="0" xr:uid="{7FE268A9-FD22-4475-B71A-FA0BABB2ACD4}">
      <text>
        <r>
          <rPr>
            <sz val="11"/>
            <color theme="1"/>
            <rFont val="Calibri"/>
            <family val="2"/>
            <scheme val="minor"/>
          </rPr>
          <t>Introduzca un codigo UNSPSC</t>
        </r>
      </text>
    </comment>
    <comment ref="B1081" authorId="1" shapeId="0" xr:uid="{12349DAF-3CCB-4EA5-B381-6781437F72AC}">
      <text>
        <r>
          <rPr>
            <sz val="11"/>
            <color theme="1"/>
            <rFont val="Calibri"/>
            <family val="2"/>
            <scheme val="minor"/>
          </rPr>
          <t>Descripción calculada automáticamente a partir de código del artículo</t>
        </r>
      </text>
    </comment>
    <comment ref="D1081" authorId="1" shapeId="0" xr:uid="{944E0FB1-B085-44CC-A769-79ABF001709B}">
      <text>
        <r>
          <rPr>
            <sz val="11"/>
            <color theme="1"/>
            <rFont val="Calibri"/>
            <family val="2"/>
            <scheme val="minor"/>
          </rPr>
          <t>Introduzca un número con dos decimales como máximo. Debe ser igual o mayor a la "Cantidad Real Consumida"</t>
        </r>
      </text>
    </comment>
    <comment ref="E1081" authorId="1" shapeId="0" xr:uid="{1B694F04-94DB-4256-BCEF-2FE9EB5906A9}">
      <text>
        <r>
          <rPr>
            <sz val="11"/>
            <color theme="1"/>
            <rFont val="Calibri"/>
            <family val="2"/>
            <scheme val="minor"/>
          </rPr>
          <t>Introduzca un número con dos decimales como máximo</t>
        </r>
      </text>
    </comment>
    <comment ref="F1081" authorId="1" shapeId="0" xr:uid="{50C60693-E51E-42A9-B6CC-ED165ACB803F}">
      <text>
        <r>
          <rPr>
            <sz val="11"/>
            <color theme="1"/>
            <rFont val="Calibri"/>
            <family val="2"/>
            <scheme val="minor"/>
          </rPr>
          <t>Monto calculado automáticamente por el sistema</t>
        </r>
      </text>
    </comment>
    <comment ref="A1087" authorId="1" shapeId="0" xr:uid="{4ED970A7-C71F-4BB2-9598-6AFCFA7EEF60}">
      <text>
        <r>
          <rPr>
            <sz val="11"/>
            <color theme="1"/>
            <rFont val="Calibri"/>
            <family val="2"/>
            <scheme val="minor"/>
          </rPr>
          <t>Introducir un texto con el nombre o referencia de la contratación</t>
        </r>
      </text>
    </comment>
    <comment ref="B1087" authorId="1" shapeId="0" xr:uid="{FC09CCCD-9AD4-4449-B3A7-A4C287B42DD0}">
      <text>
        <r>
          <rPr>
            <sz val="11"/>
            <color theme="1"/>
            <rFont val="Calibri"/>
            <family val="2"/>
            <scheme val="minor"/>
          </rPr>
          <t>Introduzca un texto con la finalidad de la contratación</t>
        </r>
      </text>
    </comment>
    <comment ref="C1087" authorId="1" shapeId="0" xr:uid="{DC72E4AD-BF87-46A6-8D4C-E49B64462889}">
      <text>
        <r>
          <rPr>
            <sz val="11"/>
            <color theme="1"/>
            <rFont val="Calibri"/>
            <family val="2"/>
            <scheme val="minor"/>
          </rPr>
          <t>Seleccionar un valor del listado</t>
        </r>
      </text>
    </comment>
    <comment ref="D1087" authorId="1" shapeId="0" xr:uid="{12CE1C3D-F3EB-41CD-9034-969F4FE1A6B3}">
      <text>
        <r>
          <rPr>
            <sz val="11"/>
            <color theme="1"/>
            <rFont val="Calibri"/>
            <family val="2"/>
            <scheme val="minor"/>
          </rPr>
          <t>Seleccione el tipo de procedimiento</t>
        </r>
      </text>
    </comment>
    <comment ref="E1087" authorId="1" shapeId="0" xr:uid="{24796310-511D-4006-A657-3E5EF0A82D15}">
      <text>
        <r>
          <rPr>
            <sz val="11"/>
            <color theme="1"/>
            <rFont val="Calibri"/>
            <family val="2"/>
            <scheme val="minor"/>
          </rPr>
          <t>Seleccione un valor de la lista</t>
        </r>
      </text>
    </comment>
    <comment ref="F1087" authorId="1" shapeId="0" xr:uid="{643BB2AA-A9C0-4D0F-B69D-B8518B95AF77}">
      <text>
        <r>
          <rPr>
            <sz val="11"/>
            <color theme="1"/>
            <rFont val="Calibri"/>
            <family val="2"/>
            <scheme val="minor"/>
          </rPr>
          <t>Introduzca el código SNIP</t>
        </r>
      </text>
    </comment>
    <comment ref="C1088" authorId="1" shapeId="0" xr:uid="{7C5A72C6-9468-4BC5-8AA7-5ADB1AE66056}">
      <text>
        <r>
          <rPr>
            <sz val="11"/>
            <color theme="1"/>
            <rFont val="Calibri"/>
            <family val="2"/>
            <scheme val="minor"/>
          </rPr>
          <t>Introduzca la fecha de inicio del proceso, en formato dd-mm-aaaa</t>
        </r>
      </text>
    </comment>
    <comment ref="F1088" authorId="1" shapeId="0" xr:uid="{B121399F-2513-412D-8140-3DE66F3CC05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9" authorId="1" shapeId="0" xr:uid="{48658507-3853-465B-9F28-DF2D2EEF29BB}">
      <text/>
    </comment>
    <comment ref="C1090" authorId="1" shapeId="0" xr:uid="{3A13E8EC-CC4A-44A9-B0A9-448651D4D5D7}">
      <text>
        <r>
          <rPr>
            <sz val="11"/>
            <color theme="1"/>
            <rFont val="Calibri"/>
            <family val="2"/>
            <scheme val="minor"/>
          </rPr>
          <t>Introduzca la fecha prevista de adjudicación, en formato dd-mm-aaaa</t>
        </r>
      </text>
    </comment>
    <comment ref="F1090" authorId="1" shapeId="0" xr:uid="{B0B73C38-3B86-41A4-A6C0-4183A6C0F879}">
      <text/>
    </comment>
    <comment ref="F1091" authorId="1" shapeId="0" xr:uid="{F3A96032-9EED-468E-B983-D3D9BD056A34}">
      <text/>
    </comment>
    <comment ref="A1093" authorId="1" shapeId="0" xr:uid="{E19D9FBC-E964-43A4-97C1-EF532D582713}">
      <text>
        <r>
          <rPr>
            <sz val="11"/>
            <color theme="1"/>
            <rFont val="Calibri"/>
            <family val="2"/>
            <scheme val="minor"/>
          </rPr>
          <t>Introduzca un codigo UNSPSC</t>
        </r>
      </text>
    </comment>
    <comment ref="B1093" authorId="1" shapeId="0" xr:uid="{079DDA7A-F345-47CA-9CDF-9F13AC341377}">
      <text>
        <r>
          <rPr>
            <sz val="11"/>
            <color theme="1"/>
            <rFont val="Calibri"/>
            <family val="2"/>
            <scheme val="minor"/>
          </rPr>
          <t>Descripción calculada automáticamente a partir de código del artículo</t>
        </r>
      </text>
    </comment>
    <comment ref="C1093" authorId="1" shapeId="0" xr:uid="{31560DD9-AB65-4040-AA3C-6330350CA4E9}">
      <text>
        <r>
          <rPr>
            <sz val="11"/>
            <color theme="1"/>
            <rFont val="Calibri"/>
            <family val="2"/>
            <scheme val="minor"/>
          </rPr>
          <t>Seleccione un valor de la lista</t>
        </r>
      </text>
    </comment>
    <comment ref="D1093" authorId="1" shapeId="0" xr:uid="{0E31822B-7E65-4C0C-8DF1-44D10C1386E0}">
      <text>
        <r>
          <rPr>
            <sz val="11"/>
            <color theme="1"/>
            <rFont val="Calibri"/>
            <family val="2"/>
            <scheme val="minor"/>
          </rPr>
          <t>Introduzca un número con dos decimales como máximo. Debe ser igual o mayor a la "Cantidad Real Consumida"</t>
        </r>
      </text>
    </comment>
    <comment ref="E1093" authorId="1" shapeId="0" xr:uid="{367EECDF-6549-4B48-8522-EA57DAAC306A}">
      <text>
        <r>
          <rPr>
            <sz val="11"/>
            <color theme="1"/>
            <rFont val="Calibri"/>
            <family val="2"/>
            <scheme val="minor"/>
          </rPr>
          <t>Introduzca un número con dos decimales como máximo</t>
        </r>
      </text>
    </comment>
    <comment ref="F1093" authorId="1" shapeId="0" xr:uid="{56F7EF49-98D1-4680-87DF-6A7AE8422A24}">
      <text>
        <r>
          <rPr>
            <sz val="11"/>
            <color theme="1"/>
            <rFont val="Calibri"/>
            <family val="2"/>
            <scheme val="minor"/>
          </rPr>
          <t>Monto calculado automáticamente por el sistema</t>
        </r>
      </text>
    </comment>
    <comment ref="A1100" authorId="1" shapeId="0" xr:uid="{EC2F872C-A562-461B-9D08-09B62B035725}">
      <text>
        <r>
          <rPr>
            <sz val="11"/>
            <color theme="1"/>
            <rFont val="Calibri"/>
            <family val="2"/>
            <scheme val="minor"/>
          </rPr>
          <t>Introducir un texto con el nombre o referencia de la contratación</t>
        </r>
      </text>
    </comment>
    <comment ref="B1100" authorId="1" shapeId="0" xr:uid="{06AE8211-2CE0-4998-A876-966DF5364A9B}">
      <text>
        <r>
          <rPr>
            <sz val="11"/>
            <color theme="1"/>
            <rFont val="Calibri"/>
            <family val="2"/>
            <scheme val="minor"/>
          </rPr>
          <t>Introducir un texto con el nombre o referencia de la contratación</t>
        </r>
      </text>
    </comment>
    <comment ref="D1100" authorId="1" shapeId="0" xr:uid="{08BD3BBA-1BAF-48B5-AA5E-B5A4C2A7575A}">
      <text>
        <r>
          <rPr>
            <sz val="11"/>
            <color theme="1"/>
            <rFont val="Calibri"/>
            <family val="2"/>
            <scheme val="minor"/>
          </rPr>
          <t>Seleccione el tipo de procedimiento</t>
        </r>
      </text>
    </comment>
    <comment ref="E1100" authorId="1" shapeId="0" xr:uid="{3C03CED1-837F-4D44-872D-C6081F1D5179}">
      <text>
        <r>
          <rPr>
            <sz val="11"/>
            <color theme="1"/>
            <rFont val="Calibri"/>
            <family val="2"/>
            <scheme val="minor"/>
          </rPr>
          <t>Seleccione un valor de la lista</t>
        </r>
      </text>
    </comment>
    <comment ref="F1100" authorId="1" shapeId="0" xr:uid="{56F09E08-D38F-4442-B164-B1E1A3C5909C}">
      <text>
        <r>
          <rPr>
            <sz val="11"/>
            <color theme="1"/>
            <rFont val="Calibri"/>
            <family val="2"/>
            <scheme val="minor"/>
          </rPr>
          <t>Introduzca el código SNIP</t>
        </r>
      </text>
    </comment>
    <comment ref="F1101" authorId="1" shapeId="0" xr:uid="{F0A7DA41-CC2B-4C30-8A5B-9AB0D287AFA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2" authorId="1" shapeId="0" xr:uid="{4EE59ADB-7F89-4A8E-B88A-7256020DF368}">
      <text/>
    </comment>
    <comment ref="F1103" authorId="1" shapeId="0" xr:uid="{A8F4DECF-2987-4B62-BB45-99E875847D2A}">
      <text/>
    </comment>
    <comment ref="F1104" authorId="1" shapeId="0" xr:uid="{6EA446DF-99A2-430C-AD5E-4FDA2E708389}">
      <text/>
    </comment>
    <comment ref="A1106" authorId="1" shapeId="0" xr:uid="{E66FA2B7-4B10-490B-9835-3B976C7C658F}">
      <text>
        <r>
          <rPr>
            <sz val="11"/>
            <color theme="1"/>
            <rFont val="Calibri"/>
            <family val="2"/>
            <scheme val="minor"/>
          </rPr>
          <t>Introduzca un codigo UNSPSC</t>
        </r>
      </text>
    </comment>
    <comment ref="B1106" authorId="1" shapeId="0" xr:uid="{B430E31B-18ED-426D-A10C-13319E8413A8}">
      <text>
        <r>
          <rPr>
            <sz val="11"/>
            <color theme="1"/>
            <rFont val="Calibri"/>
            <family val="2"/>
            <scheme val="minor"/>
          </rPr>
          <t>Descripción calculada automáticamente a partir de código del artículo</t>
        </r>
      </text>
    </comment>
    <comment ref="D1106" authorId="1" shapeId="0" xr:uid="{3D007120-641A-4C9D-A0E9-D9865FA6F66D}">
      <text>
        <r>
          <rPr>
            <sz val="11"/>
            <color theme="1"/>
            <rFont val="Calibri"/>
            <family val="2"/>
            <scheme val="minor"/>
          </rPr>
          <t>Introduzca un número con dos decimales como máximo. Debe ser igual o mayor a la "Cantidad Real Consumida"</t>
        </r>
      </text>
    </comment>
    <comment ref="E1106" authorId="1" shapeId="0" xr:uid="{A8B9C4D4-8AD4-4522-98A4-62374D90115F}">
      <text>
        <r>
          <rPr>
            <sz val="11"/>
            <color theme="1"/>
            <rFont val="Calibri"/>
            <family val="2"/>
            <scheme val="minor"/>
          </rPr>
          <t>Introduzca un número con dos decimales como máximo</t>
        </r>
      </text>
    </comment>
    <comment ref="F1106" authorId="1" shapeId="0" xr:uid="{63072284-0293-490B-9470-54AC81821321}">
      <text>
        <r>
          <rPr>
            <sz val="11"/>
            <color theme="1"/>
            <rFont val="Calibri"/>
            <family val="2"/>
            <scheme val="minor"/>
          </rPr>
          <t>Monto calculado automáticamente por el sistema</t>
        </r>
      </text>
    </comment>
    <comment ref="A1112" authorId="1" shapeId="0" xr:uid="{BCC22A54-A359-432D-8BE1-A0576D1D9F59}">
      <text>
        <r>
          <rPr>
            <sz val="11"/>
            <color theme="1"/>
            <rFont val="Calibri"/>
            <family val="2"/>
            <scheme val="minor"/>
          </rPr>
          <t>Introducir un texto con el nombre o referencia de la contratación</t>
        </r>
      </text>
    </comment>
    <comment ref="B1112" authorId="1" shapeId="0" xr:uid="{AAFF13EB-557D-4E47-9337-D58418445EDA}">
      <text>
        <r>
          <rPr>
            <sz val="11"/>
            <color theme="1"/>
            <rFont val="Calibri"/>
            <family val="2"/>
            <scheme val="minor"/>
          </rPr>
          <t>Introducir un texto con el nombre o referencia de la contratación</t>
        </r>
      </text>
    </comment>
    <comment ref="D1112" authorId="1" shapeId="0" xr:uid="{D0497655-6383-4AE9-A38B-97569DC52EA2}">
      <text>
        <r>
          <rPr>
            <sz val="11"/>
            <color theme="1"/>
            <rFont val="Calibri"/>
            <family val="2"/>
            <scheme val="minor"/>
          </rPr>
          <t>Seleccione el tipo de procedimiento</t>
        </r>
      </text>
    </comment>
    <comment ref="E1112" authorId="1" shapeId="0" xr:uid="{7CE739CD-31B7-44ED-BAE0-412E92717D70}">
      <text>
        <r>
          <rPr>
            <sz val="11"/>
            <color theme="1"/>
            <rFont val="Calibri"/>
            <family val="2"/>
            <scheme val="minor"/>
          </rPr>
          <t>Seleccione un valor de la lista</t>
        </r>
      </text>
    </comment>
    <comment ref="F1112" authorId="1" shapeId="0" xr:uid="{C5F5DD7B-57F4-416D-BBA3-B129B5BACD10}">
      <text>
        <r>
          <rPr>
            <sz val="11"/>
            <color theme="1"/>
            <rFont val="Calibri"/>
            <family val="2"/>
            <scheme val="minor"/>
          </rPr>
          <t>Introduzca el código SNIP</t>
        </r>
      </text>
    </comment>
    <comment ref="F1113" authorId="1" shapeId="0" xr:uid="{06259FAE-BE96-4F12-86FA-C8B3C58B554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4" authorId="1" shapeId="0" xr:uid="{EA28BA3A-84BD-43D6-90AF-91612C7869C2}">
      <text/>
    </comment>
    <comment ref="F1115" authorId="1" shapeId="0" xr:uid="{F2D8E2B2-F57C-4211-9C70-7B22701CE2F5}">
      <text/>
    </comment>
    <comment ref="F1116" authorId="1" shapeId="0" xr:uid="{E1E2B56A-9FAE-4B0F-B538-57B9D8CAD2E5}">
      <text/>
    </comment>
    <comment ref="A1118" authorId="1" shapeId="0" xr:uid="{C2388DCC-E0CD-4DF6-BCAA-6CA160E2D620}">
      <text>
        <r>
          <rPr>
            <sz val="11"/>
            <color theme="1"/>
            <rFont val="Calibri"/>
            <family val="2"/>
            <scheme val="minor"/>
          </rPr>
          <t>Introduzca un codigo UNSPSC</t>
        </r>
      </text>
    </comment>
    <comment ref="B1118" authorId="1" shapeId="0" xr:uid="{EE03D77F-E904-4490-94AB-74BE0346BDDC}">
      <text>
        <r>
          <rPr>
            <sz val="11"/>
            <color theme="1"/>
            <rFont val="Calibri"/>
            <family val="2"/>
            <scheme val="minor"/>
          </rPr>
          <t>Descripción calculada automáticamente a partir de código del artículo</t>
        </r>
      </text>
    </comment>
    <comment ref="D1118" authorId="1" shapeId="0" xr:uid="{DCBE2540-3605-46BC-BF37-B687391B1F77}">
      <text>
        <r>
          <rPr>
            <sz val="11"/>
            <color theme="1"/>
            <rFont val="Calibri"/>
            <family val="2"/>
            <scheme val="minor"/>
          </rPr>
          <t>Introduzca un número con dos decimales como máximo. Debe ser igual o mayor a la "Cantidad Real Consumida"</t>
        </r>
      </text>
    </comment>
    <comment ref="E1118" authorId="1" shapeId="0" xr:uid="{1996B80E-4AA5-44D8-A69E-B85C5F108E9A}">
      <text>
        <r>
          <rPr>
            <sz val="11"/>
            <color theme="1"/>
            <rFont val="Calibri"/>
            <family val="2"/>
            <scheme val="minor"/>
          </rPr>
          <t>Introduzca un número con dos decimales como máximo</t>
        </r>
      </text>
    </comment>
    <comment ref="F1118" authorId="1" shapeId="0" xr:uid="{B91A8EB1-1EB6-400F-9455-BEDF1D6CC1E3}">
      <text>
        <r>
          <rPr>
            <sz val="11"/>
            <color theme="1"/>
            <rFont val="Calibri"/>
            <family val="2"/>
            <scheme val="minor"/>
          </rPr>
          <t>Monto calculado automáticamente por el sistema</t>
        </r>
      </text>
    </comment>
    <comment ref="A1124" authorId="1" shapeId="0" xr:uid="{98B0C0EF-FF4B-42FC-9572-BAEB4018EE93}">
      <text>
        <r>
          <rPr>
            <sz val="11"/>
            <color theme="1"/>
            <rFont val="Calibri"/>
            <family val="2"/>
            <scheme val="minor"/>
          </rPr>
          <t>Introducir un texto con el nombre o referencia de la contratación</t>
        </r>
      </text>
    </comment>
    <comment ref="B1124" authorId="1" shapeId="0" xr:uid="{E8837819-B2A0-4B0F-9D6F-7C0A7600FA4C}">
      <text>
        <r>
          <rPr>
            <sz val="11"/>
            <color theme="1"/>
            <rFont val="Calibri"/>
            <family val="2"/>
            <scheme val="minor"/>
          </rPr>
          <t>Introducir un texto con el nombre o referencia de la contratación</t>
        </r>
      </text>
    </comment>
    <comment ref="D1124" authorId="1" shapeId="0" xr:uid="{5BB4AC05-30A7-4AA1-ACBC-A56244844B01}">
      <text>
        <r>
          <rPr>
            <sz val="11"/>
            <color theme="1"/>
            <rFont val="Calibri"/>
            <family val="2"/>
            <scheme val="minor"/>
          </rPr>
          <t>Seleccione el tipo de procedimiento</t>
        </r>
      </text>
    </comment>
    <comment ref="E1124" authorId="1" shapeId="0" xr:uid="{AFC04E5A-7642-4BDB-B51D-956EF57377DC}">
      <text>
        <r>
          <rPr>
            <sz val="11"/>
            <color theme="1"/>
            <rFont val="Calibri"/>
            <family val="2"/>
            <scheme val="minor"/>
          </rPr>
          <t>Seleccione un valor de la lista</t>
        </r>
      </text>
    </comment>
    <comment ref="F1124" authorId="1" shapeId="0" xr:uid="{48FFAD35-9667-4BBB-A761-B95CAC3CE589}">
      <text>
        <r>
          <rPr>
            <sz val="11"/>
            <color theme="1"/>
            <rFont val="Calibri"/>
            <family val="2"/>
            <scheme val="minor"/>
          </rPr>
          <t>Introduzca el código SNIP</t>
        </r>
      </text>
    </comment>
    <comment ref="F1125" authorId="1" shapeId="0" xr:uid="{E8D682E1-C454-4CD2-AFBA-5F5B331499E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26" authorId="1" shapeId="0" xr:uid="{1BBBB338-FBB3-47CA-8CCC-588190F7AB72}">
      <text/>
    </comment>
    <comment ref="F1127" authorId="1" shapeId="0" xr:uid="{1B4F931E-EFF2-4EAB-9A57-354F44C72BB9}">
      <text/>
    </comment>
    <comment ref="F1128" authorId="1" shapeId="0" xr:uid="{758E6CA9-9ABF-4155-BD5C-83B41709BECE}">
      <text/>
    </comment>
    <comment ref="A1130" authorId="1" shapeId="0" xr:uid="{7AE41150-CFF5-4B5B-967D-4A6A19BBB9C2}">
      <text>
        <r>
          <rPr>
            <sz val="11"/>
            <color theme="1"/>
            <rFont val="Calibri"/>
            <family val="2"/>
            <scheme val="minor"/>
          </rPr>
          <t>Introduzca un codigo UNSPSC</t>
        </r>
      </text>
    </comment>
    <comment ref="B1130" authorId="1" shapeId="0" xr:uid="{60E590A7-8C30-434E-8D64-AF402B944D47}">
      <text>
        <r>
          <rPr>
            <sz val="11"/>
            <color theme="1"/>
            <rFont val="Calibri"/>
            <family val="2"/>
            <scheme val="minor"/>
          </rPr>
          <t>Descripción calculada automáticamente a partir de código del artículo</t>
        </r>
      </text>
    </comment>
    <comment ref="D1130" authorId="1" shapeId="0" xr:uid="{4AEA5D55-EE30-4A4A-890B-B5AD1E80E869}">
      <text>
        <r>
          <rPr>
            <sz val="11"/>
            <color theme="1"/>
            <rFont val="Calibri"/>
            <family val="2"/>
            <scheme val="minor"/>
          </rPr>
          <t>Introduzca un número con dos decimales como máximo. Debe ser igual o mayor a la "Cantidad Real Consumida"</t>
        </r>
      </text>
    </comment>
    <comment ref="E1130" authorId="1" shapeId="0" xr:uid="{51B4D250-9EC1-42DC-9DA6-4349870F453B}">
      <text>
        <r>
          <rPr>
            <sz val="11"/>
            <color theme="1"/>
            <rFont val="Calibri"/>
            <family val="2"/>
            <scheme val="minor"/>
          </rPr>
          <t>Introduzca un número con dos decimales como máximo</t>
        </r>
      </text>
    </comment>
    <comment ref="F1130" authorId="1" shapeId="0" xr:uid="{10DC98B6-22E5-4BD6-9DC2-5F504C253FFF}">
      <text>
        <r>
          <rPr>
            <sz val="11"/>
            <color theme="1"/>
            <rFont val="Calibri"/>
            <family val="2"/>
            <scheme val="minor"/>
          </rPr>
          <t>Monto calculado automáticamente por el sistema</t>
        </r>
      </text>
    </comment>
    <comment ref="A1135" authorId="1" shapeId="0" xr:uid="{3332ED72-C8FB-4ED3-83CC-F905D5D44D82}">
      <text>
        <r>
          <rPr>
            <sz val="11"/>
            <color theme="1"/>
            <rFont val="Calibri"/>
            <family val="2"/>
            <scheme val="minor"/>
          </rPr>
          <t>Introducir un texto con el nombre o referencia de la contratación</t>
        </r>
      </text>
    </comment>
    <comment ref="B1135" authorId="1" shapeId="0" xr:uid="{A65E34D3-46EB-4316-B958-161DFA42F5CF}">
      <text>
        <r>
          <rPr>
            <sz val="11"/>
            <color theme="1"/>
            <rFont val="Calibri"/>
            <family val="2"/>
            <scheme val="minor"/>
          </rPr>
          <t>Introducir un texto con el nombre o referencia de la contratación</t>
        </r>
      </text>
    </comment>
    <comment ref="D1135" authorId="1" shapeId="0" xr:uid="{C88CCA77-9ED0-449B-A204-974CF9581150}">
      <text>
        <r>
          <rPr>
            <sz val="11"/>
            <color theme="1"/>
            <rFont val="Calibri"/>
            <family val="2"/>
            <scheme val="minor"/>
          </rPr>
          <t>Seleccione el tipo de procedimiento</t>
        </r>
      </text>
    </comment>
    <comment ref="E1135" authorId="1" shapeId="0" xr:uid="{1BF48086-BC21-4022-B94D-BB17E995CD8E}">
      <text>
        <r>
          <rPr>
            <sz val="11"/>
            <color theme="1"/>
            <rFont val="Calibri"/>
            <family val="2"/>
            <scheme val="minor"/>
          </rPr>
          <t>Seleccione un valor de la lista</t>
        </r>
      </text>
    </comment>
    <comment ref="F1135" authorId="1" shapeId="0" xr:uid="{CB9C33E0-A080-444F-9302-173E0171782C}">
      <text>
        <r>
          <rPr>
            <sz val="11"/>
            <color theme="1"/>
            <rFont val="Calibri"/>
            <family val="2"/>
            <scheme val="minor"/>
          </rPr>
          <t>Introduzca el código SNIP</t>
        </r>
      </text>
    </comment>
    <comment ref="F1136" authorId="1" shapeId="0" xr:uid="{F62AD162-FE39-48D9-A6C2-AE478578194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7" authorId="1" shapeId="0" xr:uid="{3494C111-7B43-4F09-A786-D4112BCFFE74}">
      <text/>
    </comment>
    <comment ref="F1138" authorId="1" shapeId="0" xr:uid="{6CDAE327-2867-463F-9A00-0C0C161CCB6F}">
      <text/>
    </comment>
    <comment ref="F1139" authorId="1" shapeId="0" xr:uid="{D0A12931-C6B8-4669-9F27-3114A91DDDAE}">
      <text/>
    </comment>
    <comment ref="A1141" authorId="1" shapeId="0" xr:uid="{7D0413B9-7702-43FC-82DD-9C4D93962A74}">
      <text>
        <r>
          <rPr>
            <sz val="11"/>
            <color theme="1"/>
            <rFont val="Calibri"/>
            <family val="2"/>
            <scheme val="minor"/>
          </rPr>
          <t>Introduzca un codigo UNSPSC</t>
        </r>
      </text>
    </comment>
    <comment ref="B1141" authorId="1" shapeId="0" xr:uid="{5C9F775C-A149-40D6-9B0A-1DAB800C952C}">
      <text>
        <r>
          <rPr>
            <sz val="11"/>
            <color theme="1"/>
            <rFont val="Calibri"/>
            <family val="2"/>
            <scheme val="minor"/>
          </rPr>
          <t>Descripción calculada automáticamente a partir de código del artículo</t>
        </r>
      </text>
    </comment>
    <comment ref="D1141" authorId="1" shapeId="0" xr:uid="{EFA8228C-B58F-44B8-8CE7-CD184666C37B}">
      <text>
        <r>
          <rPr>
            <sz val="11"/>
            <color theme="1"/>
            <rFont val="Calibri"/>
            <family val="2"/>
            <scheme val="minor"/>
          </rPr>
          <t>Introduzca un número con dos decimales como máximo. Debe ser igual o mayor a la "Cantidad Real Consumida"</t>
        </r>
      </text>
    </comment>
    <comment ref="E1141" authorId="1" shapeId="0" xr:uid="{D686E0C4-CBD7-41E6-B786-FD994B48DF2D}">
      <text>
        <r>
          <rPr>
            <sz val="11"/>
            <color theme="1"/>
            <rFont val="Calibri"/>
            <family val="2"/>
            <scheme val="minor"/>
          </rPr>
          <t>Introduzca un número con dos decimales como máximo</t>
        </r>
      </text>
    </comment>
    <comment ref="F1141" authorId="1" shapeId="0" xr:uid="{8151B2E1-8130-4025-A87E-DEA9F0ACAC2F}">
      <text>
        <r>
          <rPr>
            <sz val="11"/>
            <color theme="1"/>
            <rFont val="Calibri"/>
            <family val="2"/>
            <scheme val="minor"/>
          </rPr>
          <t>Monto calculado automáticamente por el sistema</t>
        </r>
      </text>
    </comment>
    <comment ref="A1147" authorId="1" shapeId="0" xr:uid="{293DFD7D-80B3-423B-8F25-ABB162FF0E01}">
      <text>
        <r>
          <rPr>
            <sz val="11"/>
            <color theme="1"/>
            <rFont val="Calibri"/>
            <family val="2"/>
            <scheme val="minor"/>
          </rPr>
          <t>Introducir un texto con el nombre o referencia de la contratación</t>
        </r>
      </text>
    </comment>
    <comment ref="B1147" authorId="1" shapeId="0" xr:uid="{D74013E3-C097-48FC-96FA-FDF19C343855}">
      <text>
        <r>
          <rPr>
            <sz val="11"/>
            <color theme="1"/>
            <rFont val="Calibri"/>
            <family val="2"/>
            <scheme val="minor"/>
          </rPr>
          <t>Introducir un texto con el nombre o referencia de la contratación</t>
        </r>
      </text>
    </comment>
    <comment ref="D1147" authorId="1" shapeId="0" xr:uid="{1DF66C5B-5570-4323-A0FE-6E9A94025104}">
      <text>
        <r>
          <rPr>
            <sz val="11"/>
            <color theme="1"/>
            <rFont val="Calibri"/>
            <family val="2"/>
            <scheme val="minor"/>
          </rPr>
          <t>Seleccione el tipo de procedimiento</t>
        </r>
      </text>
    </comment>
    <comment ref="E1147" authorId="1" shapeId="0" xr:uid="{C1E031C3-3B32-485C-988B-4F31F41C36FD}">
      <text>
        <r>
          <rPr>
            <sz val="11"/>
            <color theme="1"/>
            <rFont val="Calibri"/>
            <family val="2"/>
            <scheme val="minor"/>
          </rPr>
          <t>Seleccione un valor de la lista</t>
        </r>
      </text>
    </comment>
    <comment ref="F1147" authorId="1" shapeId="0" xr:uid="{D91E8175-25C5-441E-A247-38FFB10C217C}">
      <text>
        <r>
          <rPr>
            <sz val="11"/>
            <color theme="1"/>
            <rFont val="Calibri"/>
            <family val="2"/>
            <scheme val="minor"/>
          </rPr>
          <t>Introduzca el código SNIP</t>
        </r>
      </text>
    </comment>
    <comment ref="F1148" authorId="1" shapeId="0" xr:uid="{173B9087-67A7-4D81-94C5-F2C5A1FB5CD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9" authorId="1" shapeId="0" xr:uid="{A6B7F510-0583-436A-B18B-E2390931BD82}">
      <text/>
    </comment>
    <comment ref="F1150" authorId="1" shapeId="0" xr:uid="{D688D645-5356-49B3-B57B-2FD73CB771BF}">
      <text/>
    </comment>
    <comment ref="F1151" authorId="1" shapeId="0" xr:uid="{7A1AC643-48AD-40B5-943E-71F805F13002}">
      <text/>
    </comment>
    <comment ref="A1153" authorId="1" shapeId="0" xr:uid="{8FCFF10C-FF4D-42C4-B931-40F1DD2241B7}">
      <text>
        <r>
          <rPr>
            <sz val="11"/>
            <color theme="1"/>
            <rFont val="Calibri"/>
            <family val="2"/>
            <scheme val="minor"/>
          </rPr>
          <t>Introduzca un codigo UNSPSC</t>
        </r>
      </text>
    </comment>
    <comment ref="B1153" authorId="1" shapeId="0" xr:uid="{8A0519A5-4EA4-48CE-98FA-A9AF7BC29F75}">
      <text>
        <r>
          <rPr>
            <sz val="11"/>
            <color theme="1"/>
            <rFont val="Calibri"/>
            <family val="2"/>
            <scheme val="minor"/>
          </rPr>
          <t>Descripción calculada automáticamente a partir de código del artículo</t>
        </r>
      </text>
    </comment>
    <comment ref="D1153" authorId="1" shapeId="0" xr:uid="{469D1B34-C55E-4B86-82F4-BFA90EFECAC8}">
      <text>
        <r>
          <rPr>
            <sz val="11"/>
            <color theme="1"/>
            <rFont val="Calibri"/>
            <family val="2"/>
            <scheme val="minor"/>
          </rPr>
          <t>Introduzca un número con dos decimales como máximo. Debe ser igual o mayor a la "Cantidad Real Consumida"</t>
        </r>
      </text>
    </comment>
    <comment ref="E1153" authorId="1" shapeId="0" xr:uid="{D0DC95B7-106E-4010-925C-A36D32ABE39B}">
      <text>
        <r>
          <rPr>
            <sz val="11"/>
            <color theme="1"/>
            <rFont val="Calibri"/>
            <family val="2"/>
            <scheme val="minor"/>
          </rPr>
          <t>Introduzca un número con dos decimales como máximo</t>
        </r>
      </text>
    </comment>
    <comment ref="F1153" authorId="1" shapeId="0" xr:uid="{95361A12-B31F-472A-9C5C-7B2D5DEBABEA}">
      <text>
        <r>
          <rPr>
            <sz val="11"/>
            <color theme="1"/>
            <rFont val="Calibri"/>
            <family val="2"/>
            <scheme val="minor"/>
          </rPr>
          <t>Monto calculado automáticamente por el sistema</t>
        </r>
      </text>
    </comment>
    <comment ref="A1159" authorId="1" shapeId="0" xr:uid="{EFFE21AF-4A87-44C2-8EDE-4D621AE2DF64}">
      <text>
        <r>
          <rPr>
            <sz val="11"/>
            <color theme="1"/>
            <rFont val="Calibri"/>
            <family val="2"/>
            <scheme val="minor"/>
          </rPr>
          <t>Introducir un texto con el nombre o referencia de la contratación</t>
        </r>
      </text>
    </comment>
    <comment ref="B1159" authorId="1" shapeId="0" xr:uid="{7751C033-1DE7-4DF6-85C0-3F887CEACCEA}">
      <text>
        <r>
          <rPr>
            <sz val="11"/>
            <color theme="1"/>
            <rFont val="Calibri"/>
            <family val="2"/>
            <scheme val="minor"/>
          </rPr>
          <t>Introducir un texto con el nombre o referencia de la contratación</t>
        </r>
      </text>
    </comment>
    <comment ref="D1159" authorId="1" shapeId="0" xr:uid="{D57290BF-4701-44B9-BEE7-89136F0A0141}">
      <text>
        <r>
          <rPr>
            <sz val="11"/>
            <color theme="1"/>
            <rFont val="Calibri"/>
            <family val="2"/>
            <scheme val="minor"/>
          </rPr>
          <t>Seleccione el tipo de procedimiento</t>
        </r>
      </text>
    </comment>
    <comment ref="E1159" authorId="1" shapeId="0" xr:uid="{29493B8F-77B2-4EBB-A214-8E40F15A6484}">
      <text>
        <r>
          <rPr>
            <sz val="11"/>
            <color theme="1"/>
            <rFont val="Calibri"/>
            <family val="2"/>
            <scheme val="minor"/>
          </rPr>
          <t>Seleccione un valor de la lista</t>
        </r>
      </text>
    </comment>
    <comment ref="F1159" authorId="1" shapeId="0" xr:uid="{3EE3A71D-2BCF-44D1-B6A1-BE08EA6C37DE}">
      <text>
        <r>
          <rPr>
            <sz val="11"/>
            <color theme="1"/>
            <rFont val="Calibri"/>
            <family val="2"/>
            <scheme val="minor"/>
          </rPr>
          <t>Introduzca el código SNIP</t>
        </r>
      </text>
    </comment>
    <comment ref="F1160" authorId="1" shapeId="0" xr:uid="{F2AD54C4-9D09-41A2-987B-0801768639A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61" authorId="1" shapeId="0" xr:uid="{077BCE62-6C14-4E3B-8D00-6B48E2492FED}">
      <text/>
    </comment>
    <comment ref="F1162" authorId="1" shapeId="0" xr:uid="{5B48C7D6-FE3D-4C5C-B8D2-6B2A331DFAB9}">
      <text/>
    </comment>
    <comment ref="F1163" authorId="1" shapeId="0" xr:uid="{D5706589-2B1D-4CE1-A3B7-E301ED3A058A}">
      <text/>
    </comment>
    <comment ref="A1165" authorId="1" shapeId="0" xr:uid="{C37BBC78-B4F5-456A-8A57-BBA6D0A05360}">
      <text>
        <r>
          <rPr>
            <sz val="11"/>
            <color theme="1"/>
            <rFont val="Calibri"/>
            <family val="2"/>
            <scheme val="minor"/>
          </rPr>
          <t>Introduzca un codigo UNSPSC</t>
        </r>
      </text>
    </comment>
    <comment ref="B1165" authorId="1" shapeId="0" xr:uid="{0C30B462-DE94-4288-AD3E-01934C29B6D2}">
      <text>
        <r>
          <rPr>
            <sz val="11"/>
            <color theme="1"/>
            <rFont val="Calibri"/>
            <family val="2"/>
            <scheme val="minor"/>
          </rPr>
          <t>Descripción calculada automáticamente a partir de código del artículo</t>
        </r>
      </text>
    </comment>
    <comment ref="D1165" authorId="1" shapeId="0" xr:uid="{0B19AC5E-7C4A-4E48-B68A-03FBE029E63D}">
      <text>
        <r>
          <rPr>
            <sz val="11"/>
            <color theme="1"/>
            <rFont val="Calibri"/>
            <family val="2"/>
            <scheme val="minor"/>
          </rPr>
          <t>Introduzca un número con dos decimales como máximo. Debe ser igual o mayor a la "Cantidad Real Consumida"</t>
        </r>
      </text>
    </comment>
    <comment ref="E1165" authorId="1" shapeId="0" xr:uid="{1BC3568E-040B-4859-AD0F-1B16B9212BBE}">
      <text>
        <r>
          <rPr>
            <sz val="11"/>
            <color theme="1"/>
            <rFont val="Calibri"/>
            <family val="2"/>
            <scheme val="minor"/>
          </rPr>
          <t>Introduzca un número con dos decimales como máximo</t>
        </r>
      </text>
    </comment>
    <comment ref="F1165" authorId="1" shapeId="0" xr:uid="{8A0CCC27-B4E9-44F4-B1B4-66FA1EBA86E2}">
      <text>
        <r>
          <rPr>
            <sz val="11"/>
            <color theme="1"/>
            <rFont val="Calibri"/>
            <family val="2"/>
            <scheme val="minor"/>
          </rPr>
          <t>Monto calculado automáticamente por el sistema</t>
        </r>
      </text>
    </comment>
    <comment ref="A1171" authorId="1" shapeId="0" xr:uid="{41FFDFEA-5171-4CE5-99D4-2C60D64AFBDE}">
      <text>
        <r>
          <rPr>
            <sz val="11"/>
            <color theme="1"/>
            <rFont val="Calibri"/>
            <family val="2"/>
            <scheme val="minor"/>
          </rPr>
          <t>Introducir un texto con el nombre o referencia de la contratación</t>
        </r>
      </text>
    </comment>
    <comment ref="B1171" authorId="1" shapeId="0" xr:uid="{B78470D6-76DB-4E8F-8B23-9A4665692443}">
      <text>
        <r>
          <rPr>
            <sz val="11"/>
            <color theme="1"/>
            <rFont val="Calibri"/>
            <family val="2"/>
            <scheme val="minor"/>
          </rPr>
          <t>Introducir un texto con el nombre o referencia de la contratación</t>
        </r>
      </text>
    </comment>
    <comment ref="D1171" authorId="1" shapeId="0" xr:uid="{F3E17EFA-7EC1-4853-8392-706CF6EE93D6}">
      <text>
        <r>
          <rPr>
            <sz val="11"/>
            <color theme="1"/>
            <rFont val="Calibri"/>
            <family val="2"/>
            <scheme val="minor"/>
          </rPr>
          <t>Seleccione el tipo de procedimiento</t>
        </r>
      </text>
    </comment>
    <comment ref="E1171" authorId="1" shapeId="0" xr:uid="{5BEAD531-613E-45F5-9819-133C0D124EF5}">
      <text>
        <r>
          <rPr>
            <sz val="11"/>
            <color theme="1"/>
            <rFont val="Calibri"/>
            <family val="2"/>
            <scheme val="minor"/>
          </rPr>
          <t>Seleccione un valor de la lista</t>
        </r>
      </text>
    </comment>
    <comment ref="F1171" authorId="1" shapeId="0" xr:uid="{61E6C646-30DC-4A31-A0AE-A5EC76F3A55E}">
      <text>
        <r>
          <rPr>
            <sz val="11"/>
            <color theme="1"/>
            <rFont val="Calibri"/>
            <family val="2"/>
            <scheme val="minor"/>
          </rPr>
          <t>Introduzca el código SNIP</t>
        </r>
      </text>
    </comment>
    <comment ref="F1172" authorId="1" shapeId="0" xr:uid="{8844DF95-58B2-4C69-AE20-905E31D6EA3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3" authorId="1" shapeId="0" xr:uid="{3495CD25-8D8A-4398-ACD2-DAD15B3702E1}">
      <text/>
    </comment>
    <comment ref="F1174" authorId="1" shapeId="0" xr:uid="{413EA919-BCB2-4BED-9C7E-B8E7FBA001DB}">
      <text/>
    </comment>
    <comment ref="F1175" authorId="1" shapeId="0" xr:uid="{AA7148FD-1523-4B8A-AE67-CA9B6F45E20B}">
      <text/>
    </comment>
    <comment ref="A1177" authorId="1" shapeId="0" xr:uid="{18D4DC33-5294-4587-AB2C-6567B88B78A3}">
      <text>
        <r>
          <rPr>
            <sz val="11"/>
            <color theme="1"/>
            <rFont val="Calibri"/>
            <family val="2"/>
            <scheme val="minor"/>
          </rPr>
          <t>Introduzca un codigo UNSPSC</t>
        </r>
      </text>
    </comment>
    <comment ref="B1177" authorId="1" shapeId="0" xr:uid="{0BEEF3BF-DE70-4F52-AA5C-278188874600}">
      <text>
        <r>
          <rPr>
            <sz val="11"/>
            <color theme="1"/>
            <rFont val="Calibri"/>
            <family val="2"/>
            <scheme val="minor"/>
          </rPr>
          <t>Descripción calculada automáticamente a partir de código del artículo</t>
        </r>
      </text>
    </comment>
    <comment ref="D1177" authorId="1" shapeId="0" xr:uid="{7D4629C3-264F-4499-8E10-5E0D3B4A8CE0}">
      <text>
        <r>
          <rPr>
            <sz val="11"/>
            <color theme="1"/>
            <rFont val="Calibri"/>
            <family val="2"/>
            <scheme val="minor"/>
          </rPr>
          <t>Introduzca un número con dos decimales como máximo. Debe ser igual o mayor a la "Cantidad Real Consumida"</t>
        </r>
      </text>
    </comment>
    <comment ref="E1177" authorId="1" shapeId="0" xr:uid="{1CA8B6B2-E88B-492F-8D07-28D0F690D706}">
      <text>
        <r>
          <rPr>
            <sz val="11"/>
            <color theme="1"/>
            <rFont val="Calibri"/>
            <family val="2"/>
            <scheme val="minor"/>
          </rPr>
          <t>Introduzca un número con dos decimales como máximo</t>
        </r>
      </text>
    </comment>
    <comment ref="F1177" authorId="1" shapeId="0" xr:uid="{4EA76D00-E90B-47C3-8840-C18F8CE30BD4}">
      <text>
        <r>
          <rPr>
            <sz val="11"/>
            <color theme="1"/>
            <rFont val="Calibri"/>
            <family val="2"/>
            <scheme val="minor"/>
          </rPr>
          <t>Monto calculado automáticamente por el sistema</t>
        </r>
      </text>
    </comment>
    <comment ref="A1183" authorId="1" shapeId="0" xr:uid="{4D368528-FF76-41B9-84F0-42C755C55724}">
      <text>
        <r>
          <rPr>
            <sz val="11"/>
            <color theme="1"/>
            <rFont val="Calibri"/>
            <family val="2"/>
            <scheme val="minor"/>
          </rPr>
          <t>Introducir un texto con el nombre o referencia de la contratación</t>
        </r>
      </text>
    </comment>
    <comment ref="B1183" authorId="1" shapeId="0" xr:uid="{F707C7FA-4932-46C3-82CC-F487991559EC}">
      <text>
        <r>
          <rPr>
            <sz val="11"/>
            <color theme="1"/>
            <rFont val="Calibri"/>
            <family val="2"/>
            <scheme val="minor"/>
          </rPr>
          <t>Introducir un texto con el nombre o referencia de la contratación</t>
        </r>
      </text>
    </comment>
    <comment ref="D1183" authorId="1" shapeId="0" xr:uid="{1ED68FED-7B97-4D73-8F00-1704DD9480EE}">
      <text>
        <r>
          <rPr>
            <sz val="11"/>
            <color theme="1"/>
            <rFont val="Calibri"/>
            <family val="2"/>
            <scheme val="minor"/>
          </rPr>
          <t>Seleccione el tipo de procedimiento</t>
        </r>
      </text>
    </comment>
    <comment ref="E1183" authorId="1" shapeId="0" xr:uid="{D263A30A-5471-4715-AC1D-EA51F0728B7A}">
      <text>
        <r>
          <rPr>
            <sz val="11"/>
            <color theme="1"/>
            <rFont val="Calibri"/>
            <family val="2"/>
            <scheme val="minor"/>
          </rPr>
          <t>Seleccione un valor de la lista</t>
        </r>
      </text>
    </comment>
    <comment ref="F1183" authorId="1" shapeId="0" xr:uid="{222ACE92-52CA-4A0B-9F4B-A0301E58A5CA}">
      <text>
        <r>
          <rPr>
            <sz val="11"/>
            <color theme="1"/>
            <rFont val="Calibri"/>
            <family val="2"/>
            <scheme val="minor"/>
          </rPr>
          <t>Introduzca el código SNIP</t>
        </r>
      </text>
    </comment>
    <comment ref="F1184" authorId="1" shapeId="0" xr:uid="{BAD4AFF6-91C6-4ACA-B987-BD0B56DCCE9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5" authorId="1" shapeId="0" xr:uid="{1BA1AA37-CB5A-476B-973F-D7E5B79E6F95}">
      <text/>
    </comment>
    <comment ref="F1186" authorId="1" shapeId="0" xr:uid="{860F43EF-A7B5-40D5-AB00-AB7F664D24DE}">
      <text/>
    </comment>
    <comment ref="F1187" authorId="1" shapeId="0" xr:uid="{C9FAD808-50F1-47A6-8B07-C3F1F0CE4C4C}">
      <text/>
    </comment>
    <comment ref="A1189" authorId="1" shapeId="0" xr:uid="{01C0897B-12F8-4BAB-929B-26E3FC61040D}">
      <text>
        <r>
          <rPr>
            <sz val="11"/>
            <color theme="1"/>
            <rFont val="Calibri"/>
            <family val="2"/>
            <scheme val="minor"/>
          </rPr>
          <t>Introduzca un codigo UNSPSC</t>
        </r>
      </text>
    </comment>
    <comment ref="B1189" authorId="1" shapeId="0" xr:uid="{25346457-B2ED-43C1-BA69-1201C054203F}">
      <text>
        <r>
          <rPr>
            <sz val="11"/>
            <color theme="1"/>
            <rFont val="Calibri"/>
            <family val="2"/>
            <scheme val="minor"/>
          </rPr>
          <t>Descripción calculada automáticamente a partir de código del artículo</t>
        </r>
      </text>
    </comment>
    <comment ref="D1189" authorId="1" shapeId="0" xr:uid="{4DE101C8-8AE7-458F-8158-49D55C59692E}">
      <text>
        <r>
          <rPr>
            <sz val="11"/>
            <color theme="1"/>
            <rFont val="Calibri"/>
            <family val="2"/>
            <scheme val="minor"/>
          </rPr>
          <t>Introduzca un número con dos decimales como máximo. Debe ser igual o mayor a la "Cantidad Real Consumida"</t>
        </r>
      </text>
    </comment>
    <comment ref="E1189" authorId="1" shapeId="0" xr:uid="{37411F02-058E-46F6-9AA2-82F2BAE5D20F}">
      <text>
        <r>
          <rPr>
            <sz val="11"/>
            <color theme="1"/>
            <rFont val="Calibri"/>
            <family val="2"/>
            <scheme val="minor"/>
          </rPr>
          <t>Introduzca un número con dos decimales como máximo</t>
        </r>
      </text>
    </comment>
    <comment ref="F1189" authorId="1" shapeId="0" xr:uid="{93B4962C-2406-404F-932C-434C228E47EA}">
      <text>
        <r>
          <rPr>
            <sz val="11"/>
            <color theme="1"/>
            <rFont val="Calibri"/>
            <family val="2"/>
            <scheme val="minor"/>
          </rPr>
          <t>Monto calculado automáticamente por el sistema</t>
        </r>
      </text>
    </comment>
    <comment ref="A1195" authorId="1" shapeId="0" xr:uid="{E6079EAE-BC3C-47AB-B22F-CEADD46DF929}">
      <text>
        <r>
          <rPr>
            <sz val="11"/>
            <color theme="1"/>
            <rFont val="Calibri"/>
            <family val="2"/>
            <scheme val="minor"/>
          </rPr>
          <t>Introducir un texto con el nombre o referencia de la contratación</t>
        </r>
      </text>
    </comment>
    <comment ref="B1195" authorId="1" shapeId="0" xr:uid="{1B302763-E139-4CFE-BD58-3BAB3E7C3748}">
      <text>
        <r>
          <rPr>
            <sz val="11"/>
            <color theme="1"/>
            <rFont val="Calibri"/>
            <family val="2"/>
            <scheme val="minor"/>
          </rPr>
          <t>Introducir un texto con el nombre o referencia de la contratación</t>
        </r>
      </text>
    </comment>
    <comment ref="D1195" authorId="1" shapeId="0" xr:uid="{0B5F6580-89E0-4DDE-B8CE-14F45C4E722E}">
      <text>
        <r>
          <rPr>
            <sz val="11"/>
            <color theme="1"/>
            <rFont val="Calibri"/>
            <family val="2"/>
            <scheme val="minor"/>
          </rPr>
          <t>Seleccione el tipo de procedimiento</t>
        </r>
      </text>
    </comment>
    <comment ref="E1195" authorId="1" shapeId="0" xr:uid="{75C98F40-2CFC-4955-9245-55FC8D9E598F}">
      <text>
        <r>
          <rPr>
            <sz val="11"/>
            <color theme="1"/>
            <rFont val="Calibri"/>
            <family val="2"/>
            <scheme val="minor"/>
          </rPr>
          <t>Seleccione un valor de la lista</t>
        </r>
      </text>
    </comment>
    <comment ref="F1195" authorId="1" shapeId="0" xr:uid="{384E8A02-F671-480A-A767-958181CFBD62}">
      <text>
        <r>
          <rPr>
            <sz val="11"/>
            <color theme="1"/>
            <rFont val="Calibri"/>
            <family val="2"/>
            <scheme val="minor"/>
          </rPr>
          <t>Introduzca el código SNIP</t>
        </r>
      </text>
    </comment>
    <comment ref="F1196" authorId="1" shapeId="0" xr:uid="{2738302B-6D5A-4CD8-B705-12749C45105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97" authorId="1" shapeId="0" xr:uid="{2A9AE62B-B16E-4342-B9C7-9DAF5FD2BA58}">
      <text/>
    </comment>
    <comment ref="F1198" authorId="1" shapeId="0" xr:uid="{552AFBBB-D1CB-4994-BF00-7674A043F467}">
      <text/>
    </comment>
    <comment ref="F1199" authorId="1" shapeId="0" xr:uid="{3BF3AD23-A268-4F93-B2D0-FFC6F75A02F2}">
      <text/>
    </comment>
    <comment ref="A1201" authorId="1" shapeId="0" xr:uid="{E6B23E97-098A-49B1-9CAC-6979302D72B7}">
      <text>
        <r>
          <rPr>
            <sz val="11"/>
            <color theme="1"/>
            <rFont val="Calibri"/>
            <family val="2"/>
            <scheme val="minor"/>
          </rPr>
          <t>Introduzca un codigo UNSPSC</t>
        </r>
      </text>
    </comment>
    <comment ref="B1201" authorId="1" shapeId="0" xr:uid="{9E8A6E59-A300-4772-AD16-5F52BF8E52D1}">
      <text>
        <r>
          <rPr>
            <sz val="11"/>
            <color theme="1"/>
            <rFont val="Calibri"/>
            <family val="2"/>
            <scheme val="minor"/>
          </rPr>
          <t>Descripción calculada automáticamente a partir de código del artículo</t>
        </r>
      </text>
    </comment>
    <comment ref="D1201" authorId="1" shapeId="0" xr:uid="{F8E391C2-D8A1-406F-828E-2D0930D268B7}">
      <text>
        <r>
          <rPr>
            <sz val="11"/>
            <color theme="1"/>
            <rFont val="Calibri"/>
            <family val="2"/>
            <scheme val="minor"/>
          </rPr>
          <t>Introduzca un número con dos decimales como máximo. Debe ser igual o mayor a la "Cantidad Real Consumida"</t>
        </r>
      </text>
    </comment>
    <comment ref="E1201" authorId="1" shapeId="0" xr:uid="{2AF00C52-4C20-4933-821F-153ECDA29954}">
      <text>
        <r>
          <rPr>
            <sz val="11"/>
            <color theme="1"/>
            <rFont val="Calibri"/>
            <family val="2"/>
            <scheme val="minor"/>
          </rPr>
          <t>Introduzca un número con dos decimales como máximo</t>
        </r>
      </text>
    </comment>
    <comment ref="F1201" authorId="1" shapeId="0" xr:uid="{5E7108CC-A65B-46F8-B2D6-1B91291F18E4}">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<sst xmlns="http://schemas.openxmlformats.org/spreadsheetml/2006/main" count="2977" uniqueCount="345">
  <si>
    <t xml:space="preserve">PLAN ANUAL DE COMPRAS Y CONTRATACIONES 
</t>
  </si>
  <si>
    <t>SNCC.F.069</t>
  </si>
  <si>
    <t xml:space="preserve">Capítulo </t>
  </si>
  <si>
    <t>0201</t>
  </si>
  <si>
    <t>Version: 1.0.0</t>
  </si>
  <si>
    <t>Sub Capítulo</t>
  </si>
  <si>
    <t>01</t>
  </si>
  <si>
    <t>Unidad Ejecutora</t>
  </si>
  <si>
    <t>0010</t>
  </si>
  <si>
    <t>Cantidad Procesos Registrados</t>
  </si>
  <si>
    <t xml:space="preserve">Unidad de Compra </t>
  </si>
  <si>
    <t>Monto Estimado Total</t>
  </si>
  <si>
    <t>Código de la Unidad de Compra</t>
  </si>
  <si>
    <t>000723</t>
  </si>
  <si>
    <t xml:space="preserve">Año Fiscal </t>
  </si>
  <si>
    <t>Fecha Aprobación</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</si>
  <si>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</si>
  <si>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</si>
  <si>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</si>
  <si>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</si>
  <si>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</si>
  <si>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</si>
  <si>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</si>
  <si>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</si>
  <si>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</si>
  <si>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</si>
  <si>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</si>
  <si>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</si>
  <si>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</si>
  <si>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</si>
  <si>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</si>
  <si>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</si>
  <si>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</si>
  <si>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Chequeo y mantenimiento A/A 5 toneladas</t>
  </si>
  <si>
    <t>UNIDAD</t>
  </si>
  <si>
    <t>Chequeo y mantenimiento A/A 3 toneladas</t>
  </si>
  <si>
    <t>72101511</t>
  </si>
  <si>
    <t>Chequeo y mantenimiento A/A 4 toneladas</t>
  </si>
  <si>
    <t xml:space="preserve">UNIDAD </t>
  </si>
  <si>
    <t>Chequeo y mantenimiento A/A 1.5 toneladas</t>
  </si>
  <si>
    <t>TOTAL COMPRA ESTIMADA</t>
  </si>
  <si>
    <t>NOMBRE O REFERENCIA DE CONTRATACIÓN</t>
  </si>
  <si>
    <t>FINALIDAD DE LA CONTRATACIÓN</t>
  </si>
  <si>
    <t>OBJETO DE CONTRATACION</t>
  </si>
  <si>
    <t>PROCEDIMIENTO DE SELECCIÓN</t>
  </si>
  <si>
    <t>DESTINADO A MIPYMES</t>
  </si>
  <si>
    <t>CÓDIGO SNIP</t>
  </si>
  <si>
    <t>ADM Mantenimiento A/A 2do. trimestre 2023</t>
  </si>
  <si>
    <t>Mantener en buen estados los equipos de climatización de la institución</t>
  </si>
  <si>
    <t>Servicos</t>
  </si>
  <si>
    <t>Compras por debajo del Umbral</t>
  </si>
  <si>
    <t>No</t>
  </si>
  <si>
    <t>20/04/2023</t>
  </si>
  <si>
    <t>23/04/2023</t>
  </si>
  <si>
    <t>72101512</t>
  </si>
  <si>
    <t>Chequeo y mantenimiento A/A 1 toneladas</t>
  </si>
  <si>
    <t>ADM Mantenimiento A/A 3er. trimestre 2023</t>
  </si>
  <si>
    <t>20/07/2023</t>
  </si>
  <si>
    <t>23/07/2023</t>
  </si>
  <si>
    <t>ADM Mantenimiento A/A 4to. trimestre 2023</t>
  </si>
  <si>
    <t>20/10/2023</t>
  </si>
  <si>
    <t>23/10/2023</t>
  </si>
  <si>
    <t>ADM Mantenimiento Vehiculos y motocicletas Primer trimestre 2023</t>
  </si>
  <si>
    <t>Mantener en buen estado los vehiculos de la institución</t>
  </si>
  <si>
    <t>Servicios</t>
  </si>
  <si>
    <t>20/01/2023</t>
  </si>
  <si>
    <t>23/01/2023</t>
  </si>
  <si>
    <t>Mantenimiento Chevrolet Tahoe 2018</t>
  </si>
  <si>
    <t>UD</t>
  </si>
  <si>
    <t>Mantenimiento Minibus Nissan Urvan NV 350</t>
  </si>
  <si>
    <t>Mantenimiento Hyundai Santa Fe 2009</t>
  </si>
  <si>
    <t>Mantenimiento Motocicleta Yamaha Crux 110 azul</t>
  </si>
  <si>
    <t>ADM Mantenimiento Vehiculos y motocicletas segundo trimestre 2023</t>
  </si>
  <si>
    <t>ADM Mantenimiento Vehiculos y motocicletas tercer trimestre 2023</t>
  </si>
  <si>
    <t xml:space="preserve">                                                                                                                                                                                                                                                                                                                                                        </t>
  </si>
  <si>
    <t>ADM Mantenimiento Vehiculos y motocicletas cuarto trimestre 2023</t>
  </si>
  <si>
    <t>ADM Servicios de fumigación  1ER. TRIMESTRE</t>
  </si>
  <si>
    <t>proporcionar a la institución los servicios de fumigación contra insectos y plagas, ademas de los servicios de fumigación contra virus y bacterias</t>
  </si>
  <si>
    <t>72102103 </t>
  </si>
  <si>
    <t>Servicio de fumigación contra insectos y plagas</t>
  </si>
  <si>
    <t>Servicio de fumigación contra virus y bacterias</t>
  </si>
  <si>
    <t>ADM Servicios de fumigación 2DO. TRIMESTRE</t>
  </si>
  <si>
    <t>ADM Servicios de fumigación 3ER TRIMESTRE</t>
  </si>
  <si>
    <t>ADM Servicios de fumigación  4TO. TRIMESTRE</t>
  </si>
  <si>
    <t>ADM Mantenimientos Purificadores de Agua</t>
  </si>
  <si>
    <t>Mantener en correcto estado de funcionamiento los puricadores de agua, a fin de mantener la potabilidad del agua</t>
  </si>
  <si>
    <t>15/10/2023</t>
  </si>
  <si>
    <t>mantenimiento purificadores agua CHP-671 7mo. Piso</t>
  </si>
  <si>
    <t>mantenimiento purificadores agua CHP-671 Local 5B</t>
  </si>
  <si>
    <t>mantenimiento purificadores agua CHP-271 Local A</t>
  </si>
  <si>
    <t>ADM Insumos de alimentos y bebidas  1er. Trimestre</t>
  </si>
  <si>
    <t>Proporcionar los insumos necesarios para mantener los servicios al personal, y visitantes según las actividades a desarrollar durante el trimestre</t>
  </si>
  <si>
    <t>Bienes</t>
  </si>
  <si>
    <t>Café 1 libra</t>
  </si>
  <si>
    <t>PAQ</t>
  </si>
  <si>
    <t>Azucar de Dieta (Cajas) 200/1</t>
  </si>
  <si>
    <t xml:space="preserve">Té frio funda 3kg </t>
  </si>
  <si>
    <t>Azucar Crema 5/1 libra</t>
  </si>
  <si>
    <t>Té Caliente en bolsa 50/1</t>
  </si>
  <si>
    <t>CAJ</t>
  </si>
  <si>
    <t>Cremora 23 Onzas</t>
  </si>
  <si>
    <t>Agua en cartón  18/1</t>
  </si>
  <si>
    <t>Chocolate 60/1</t>
  </si>
  <si>
    <t>CAJA</t>
  </si>
  <si>
    <t>Leche semidescremada Litro</t>
  </si>
  <si>
    <t>ADM Insumos de alimentos y bebidas  2do.  Trimestre</t>
  </si>
  <si>
    <t>15/04/2023</t>
  </si>
  <si>
    <t>ADM Insumos de alimentos y bebidas  3er.  Trimestre</t>
  </si>
  <si>
    <t>15/07/2023</t>
  </si>
  <si>
    <t>ADM Insumos de alimentos y bebidas  4to.  Trimestre</t>
  </si>
  <si>
    <t>ADM Insumos de Higiene y limpieza  1er. Trimestre</t>
  </si>
  <si>
    <t>Swaper</t>
  </si>
  <si>
    <t>Escoba</t>
  </si>
  <si>
    <t>Cubeta con Exprimidor</t>
  </si>
  <si>
    <t>Zafacon p/ escritorios</t>
  </si>
  <si>
    <t>Fundas p/zafacón</t>
  </si>
  <si>
    <t>47131502 </t>
  </si>
  <si>
    <t>Paño de Limpieza (Lanilla) Yds.</t>
  </si>
  <si>
    <t>Papel de baños p/HIGIENICO 12/1</t>
  </si>
  <si>
    <t>papel Toalla  p/cocina 6/1</t>
  </si>
  <si>
    <t>Servilleta C-Fold Generica 24/1</t>
  </si>
  <si>
    <t>Servilleta de manos 500/1</t>
  </si>
  <si>
    <t>Detergentes  1 lbs</t>
  </si>
  <si>
    <t xml:space="preserve">Jabon Liquido p/mano </t>
  </si>
  <si>
    <t>Guantes p/fregar Par</t>
  </si>
  <si>
    <t xml:space="preserve">	
47131807</t>
  </si>
  <si>
    <t>Cloro</t>
  </si>
  <si>
    <t>GAL</t>
  </si>
  <si>
    <t>Desinfectantes</t>
  </si>
  <si>
    <t xml:space="preserve"> ADM Insumos de Higiene y limpieza  2DO. Trimestre</t>
  </si>
  <si>
    <t>ADM Insumos de Higiene y limpieza  3er. Trimestre</t>
  </si>
  <si>
    <t>ADM Insumos de Higiene y limpieza 4TO. Trimestre</t>
  </si>
  <si>
    <t>ADM Materiales gastables de oficina  1ER. Trimestre</t>
  </si>
  <si>
    <t>Papel Bond 20 8 1/2 x 11</t>
  </si>
  <si>
    <t>RESMA</t>
  </si>
  <si>
    <t>Papel bond 8 1/2 * 14</t>
  </si>
  <si>
    <t>Banderillas adhesivas</t>
  </si>
  <si>
    <t>Resaltadores varios colores</t>
  </si>
  <si>
    <t>Separadores de Carpetas paquetes</t>
  </si>
  <si>
    <t>Mouse Raton óptico USB</t>
  </si>
  <si>
    <t>FOLDER MANILA 8 1/2*11</t>
  </si>
  <si>
    <t>CINTA ADHESIVA TRANSPARENTE 3/4</t>
  </si>
  <si>
    <t>BANDEJA DE ESCRITORIO METALICA</t>
  </si>
  <si>
    <t>PROTECTORES DE HOJAS PARA CARPETAS</t>
  </si>
  <si>
    <t>Clips billetero 32 mm</t>
  </si>
  <si>
    <t>Papel para sumadora</t>
  </si>
  <si>
    <t>Grapadoras Heavy Duty</t>
  </si>
  <si>
    <t>Tijeras mediana</t>
  </si>
  <si>
    <t>Porta lapiz</t>
  </si>
  <si>
    <t>Dispensador de cinta adhesiva 3/4</t>
  </si>
  <si>
    <t>44121613 </t>
  </si>
  <si>
    <t>sacagrapas</t>
  </si>
  <si>
    <t>44121706 </t>
  </si>
  <si>
    <t>Lapiz de carbon 12/1</t>
  </si>
  <si>
    <t>Perforadora de tres hoyos</t>
  </si>
  <si>
    <t>Boligrafos Azules 12/1</t>
  </si>
  <si>
    <t>Boligrafos NEGROS 12/1</t>
  </si>
  <si>
    <t>Corrector blanco (Liquid paper)</t>
  </si>
  <si>
    <t>ADM Materiales gastables de oficina  2DO. Trimestre</t>
  </si>
  <si>
    <t>ADM Materiales gastables de oficina  3er. Trimestre</t>
  </si>
  <si>
    <t>ADM Materiales gastables de oficina  4to. Trimestre</t>
  </si>
  <si>
    <t>ADM Toners y cartuchos para impresoras  1ER. Trimestre</t>
  </si>
  <si>
    <t>Compras menores</t>
  </si>
  <si>
    <t xml:space="preserve">Toner p/impresora WorkCentre 6515 magenta </t>
  </si>
  <si>
    <t>Toner p/impresora WorkCentre 6515 yellow</t>
  </si>
  <si>
    <t>Toner p/impresora WorkCentre 6515 negro</t>
  </si>
  <si>
    <t>Toner p/impresora WorkCentre 6515 cyan</t>
  </si>
  <si>
    <t>Toner p/impresora Konica Minolta C227 negro</t>
  </si>
  <si>
    <t>Toner p/impresora Konica Minolta C227 magenta</t>
  </si>
  <si>
    <t>Toner p/impresora Konica Minolta C227 cyan</t>
  </si>
  <si>
    <t>Toner p/impresora Konica Minolta C227 yellow</t>
  </si>
  <si>
    <t>Toner Ricoh MPPC3002 negro</t>
  </si>
  <si>
    <t>Toner Ricoh MPPC3002 magenta</t>
  </si>
  <si>
    <t>Toner Ricoh MPPC3002 yellow</t>
  </si>
  <si>
    <t>Toner Ricoh MPPC3002 cyan</t>
  </si>
  <si>
    <t>Toner Negro HP ( 131 A)</t>
  </si>
  <si>
    <t>Toner yellow HP ( 131 A)</t>
  </si>
  <si>
    <t>Toner cyan HP ( 131 A)</t>
  </si>
  <si>
    <t>Toner magenta HP ( 131 A)</t>
  </si>
  <si>
    <t>Cartucho de Residuos para impresoras Xerox Versalink C7020</t>
  </si>
  <si>
    <t>Cartucho de Residuos para impresoras Xerox Workcentre 6515DN</t>
  </si>
  <si>
    <t>ADM Toners y cartuchos para impresoras  3er. Trimestre</t>
  </si>
  <si>
    <t xml:space="preserve">LEG Servicios de Notarizaciones y legalizaciones </t>
  </si>
  <si>
    <t>Facilitar los procesos de notarizaciones y legalizaciones de contratos</t>
  </si>
  <si>
    <t>Compra menor</t>
  </si>
  <si>
    <t>Notarizacion de contratos</t>
  </si>
  <si>
    <t>Procesos de comparacion de precios</t>
  </si>
  <si>
    <t xml:space="preserve">Servicio de rellenado de extintores </t>
  </si>
  <si>
    <t>Mantener los extintores en buen estado</t>
  </si>
  <si>
    <t>Compra debajo del umbral</t>
  </si>
  <si>
    <t>servicio de rellenado de extintores ABC de 10Lbs</t>
  </si>
  <si>
    <t xml:space="preserve">DAF-Almuerzo institucional </t>
  </si>
  <si>
    <t>Almuerzo institucional </t>
  </si>
  <si>
    <t>Comparacion de precios</t>
  </si>
  <si>
    <t xml:space="preserve">Almuerzos institucionales </t>
  </si>
  <si>
    <t xml:space="preserve">ADM-Combustible institucional 2023 </t>
  </si>
  <si>
    <t>Tickets combustibles RD$ 1000.00</t>
  </si>
  <si>
    <t>Tickets combustible RD$ 500.00</t>
  </si>
  <si>
    <t>Tickets combustible RD$ 200.00</t>
  </si>
  <si>
    <t>Tickets combustible RD$ 100.00</t>
  </si>
  <si>
    <t>ADM Ticket de lavado p/vehiculos institucionales</t>
  </si>
  <si>
    <t>Compra por debajo del umbral</t>
  </si>
  <si>
    <t>'76111801</t>
  </si>
  <si>
    <t>Ticket de lavado vehiculos institucionales</t>
  </si>
  <si>
    <t>Servicio de Mantenimiento de Software</t>
  </si>
  <si>
    <t>Procesos de Excepción</t>
  </si>
  <si>
    <t>Manteniento software sistema Aries</t>
  </si>
  <si>
    <t>ADM Seguros para vehículos institucionales 2023</t>
  </si>
  <si>
    <t>Seguros full para vehículo Chevrolet Tahoe 2018</t>
  </si>
  <si>
    <t>Seguro full para Minibus</t>
  </si>
  <si>
    <t>Seguros full para Hyundai Santa Fe 2009</t>
  </si>
  <si>
    <t>Seguros para Motocicleta Yamaha Crux 110 Azul</t>
  </si>
  <si>
    <t>Seguros para Motocicleta Yamaha Crux 110 roja</t>
  </si>
  <si>
    <t>ADM Renovación Seguros Incendio y líneas aliadas, responsabilidad civil, y equipos electrónicos 2023</t>
  </si>
  <si>
    <t>Poliza de seguros bienes muebles (activo fijo)Incendio y líneas aliadas</t>
  </si>
  <si>
    <t>Poliza para paneles solares y equipos. Todo riesgo equipos electronicos electronicos</t>
  </si>
  <si>
    <t>Poliza responsabilidad civil exceso</t>
  </si>
  <si>
    <t>Responsabilidad civil extracontractual</t>
  </si>
  <si>
    <t>TIC Hosting de hospedaje Web y correos</t>
  </si>
  <si>
    <t>Renovación de hospedaje web</t>
  </si>
  <si>
    <t>TIC  Software antivirus para computadoras del CNCCMDL</t>
  </si>
  <si>
    <t>TIC-Software antivirus para computadoras del CNCCMDL</t>
  </si>
  <si>
    <t>Kaspersky Endpoint Security for Business Select</t>
  </si>
  <si>
    <t>TIC Licencias Informáticas</t>
  </si>
  <si>
    <t>Microsoft 365 estandar.</t>
  </si>
  <si>
    <t>Programa de Diseño Suscripción Anual</t>
  </si>
  <si>
    <t>Microsoft Visio plan 2</t>
  </si>
  <si>
    <t>ADM Materiales para el mantenimiento de la planta fisica</t>
  </si>
  <si>
    <t>Pintura  Acrilica cubeta</t>
  </si>
  <si>
    <t>Masilla 1/4 galon</t>
  </si>
  <si>
    <t>Lijas gresas pliego</t>
  </si>
  <si>
    <t>Lijas finas pliego</t>
  </si>
  <si>
    <t>Portarolos</t>
  </si>
  <si>
    <t>Espatulas 3"</t>
  </si>
  <si>
    <t>Mota antigotas</t>
  </si>
  <si>
    <t>Planificacion Catering</t>
  </si>
  <si>
    <t>Planificacion Catering Reuniones de acompañamiento con las diferentes áreas</t>
  </si>
  <si>
    <t>Servicio</t>
  </si>
  <si>
    <t>compra debajo del umbral</t>
  </si>
  <si>
    <t>Servicio de catering para 15 personas</t>
  </si>
  <si>
    <t>RRHH-Carnets y portacarnet</t>
  </si>
  <si>
    <t>Portacanets silicone</t>
  </si>
  <si>
    <t>Cordon para carnet de identidad</t>
  </si>
  <si>
    <t>14111815 </t>
  </si>
  <si>
    <t>carnets pvc</t>
  </si>
  <si>
    <t>compra menor</t>
  </si>
  <si>
    <t>53101602 </t>
  </si>
  <si>
    <t>bienes</t>
  </si>
  <si>
    <t>RRHH-Coronas de duelo</t>
  </si>
  <si>
    <t xml:space="preserve">Coronas de Duelo </t>
  </si>
  <si>
    <t>RRHH-Brunch Navideño</t>
  </si>
  <si>
    <t>servicio</t>
  </si>
  <si>
    <t>RRHH-Sistema de registro y control de asistencia</t>
  </si>
  <si>
    <t>compra MENOR</t>
  </si>
  <si>
    <t>RRHH-Sistema de señalizacion de ruta de evacuación, detectores de humo y luces de emergencia</t>
  </si>
  <si>
    <t>Sistema de señalizacion de ruta de evacuación</t>
  </si>
  <si>
    <t xml:space="preserve">detectores de humo </t>
  </si>
  <si>
    <t xml:space="preserve"> luces de emergencia</t>
  </si>
  <si>
    <t>RRHH-articulos y medicamentos botiquin</t>
  </si>
  <si>
    <t>Termometro digital</t>
  </si>
  <si>
    <t>acetaminofen</t>
  </si>
  <si>
    <t>loratadina</t>
  </si>
  <si>
    <t>Alcohol</t>
  </si>
  <si>
    <t>GL</t>
  </si>
  <si>
    <t>TIC-Equipos tecnologicos</t>
  </si>
  <si>
    <t>Computador de escritorio</t>
  </si>
  <si>
    <t>Computador portátil</t>
  </si>
  <si>
    <t>Monitores 27”</t>
  </si>
  <si>
    <t>Unidades de estado sólido</t>
  </si>
  <si>
    <t>Teclados</t>
  </si>
  <si>
    <t>Mouse</t>
  </si>
  <si>
    <t>UPS</t>
  </si>
  <si>
    <t>TIC-Mantenimiento impresoras</t>
  </si>
  <si>
    <t>Servicio Mantenimiento RICOH</t>
  </si>
  <si>
    <t>Servicio Mantenimiento XEROX</t>
  </si>
  <si>
    <t>Com-Programa de diseño</t>
  </si>
  <si>
    <t>Debajo del umbral</t>
  </si>
  <si>
    <t xml:space="preserve">Adquisición de programa de diseño </t>
  </si>
  <si>
    <t>Com-Aniversario</t>
  </si>
  <si>
    <t>Com-Aniversario CNCCMDL</t>
  </si>
  <si>
    <t>Tarjetas de Presentación</t>
  </si>
  <si>
    <t>Arreglo floral</t>
  </si>
  <si>
    <t>Reconocimientos institucionales</t>
  </si>
  <si>
    <t>Impresión de la Posición País</t>
  </si>
  <si>
    <t>Planificacion Elaboracion del informe de Autoevaluación</t>
  </si>
  <si>
    <t>Servicio de catering para 30 personas</t>
  </si>
  <si>
    <t>RRHH Catering</t>
  </si>
  <si>
    <t>Servicio de catering para 25 personas</t>
  </si>
  <si>
    <t>OA1 Catering</t>
  </si>
  <si>
    <t>OAI Catering</t>
  </si>
  <si>
    <t>Unidad de Investigacion Cientifica/ Despacho Catering</t>
  </si>
  <si>
    <t>Unidad de Investigacion Cientifica/ DespachoCatering</t>
  </si>
  <si>
    <t>Departamento de Mitigacion Catering</t>
  </si>
  <si>
    <t xml:space="preserve">Salon evento, caterin para 100 personas. </t>
  </si>
  <si>
    <t>Asistencia Técnica para apoyar la implementacion del marco de transparencia reforzado</t>
  </si>
  <si>
    <t xml:space="preserve">caterin para 15 personas. </t>
  </si>
  <si>
    <t xml:space="preserve"> Realización o Participacion de talleres, webinars y conferencias locales, nacionales sobre sensibilización  para empoderamiento climático</t>
  </si>
  <si>
    <t xml:space="preserve">caterin para 30 personas. </t>
  </si>
  <si>
    <t>Direccion Tecnica Catering</t>
  </si>
  <si>
    <t> Gestionar el reforzamiento del marco legal de para la adaptación del efecto de cambio climático</t>
  </si>
  <si>
    <t xml:space="preserve">caterin y almuerzo  para 20 personas. </t>
  </si>
  <si>
    <t>Planificacion Taller integracion POA 2024</t>
  </si>
  <si>
    <t>Planificacion Taller POA</t>
  </si>
  <si>
    <t>Servicios generales Articulos de baño</t>
  </si>
  <si>
    <t>Dispensador de papel de mano</t>
  </si>
  <si>
    <t>Zafacones de metal con pedal(Mediano)</t>
  </si>
  <si>
    <t>Camara de videovigilancia</t>
  </si>
  <si>
    <t>Puerta acordeon area de lactancia</t>
  </si>
  <si>
    <t>Extensiones electricas sin regleta</t>
  </si>
  <si>
    <t>Extensiones electricas con regleta</t>
  </si>
  <si>
    <t>Jabon liquido para fregar</t>
  </si>
  <si>
    <t>Servicios generales Detector de humo</t>
  </si>
  <si>
    <t>Detector de humo con bateria recargable</t>
  </si>
  <si>
    <t>Dispensador de jabon liquido para los baños</t>
  </si>
  <si>
    <t>OBJETO DE CONTRATACIÓN</t>
  </si>
  <si>
    <t>Controles electronicos para puertas</t>
  </si>
  <si>
    <t>46151607 </t>
  </si>
  <si>
    <t>DAF Instalacion de puerta de cristal</t>
  </si>
  <si>
    <t>SUMINISTRO E INSTALACION DE 1 PUERTAS  DE CRISTAL Y ACCESORIOS</t>
  </si>
  <si>
    <t xml:space="preserve">Detergentes  </t>
  </si>
  <si>
    <t>lb</t>
  </si>
  <si>
    <t>Catering 100 personas</t>
  </si>
  <si>
    <r>
      <t xml:space="preserve">Hotel para evento Taller 2 dias, (Equipos Audiovisuales, estadia,refrigerios,entre otros, (Gerencia-Mandos Medios-Staff) (Taller de integración </t>
    </r>
    <r>
      <rPr>
        <b/>
        <sz val="12"/>
        <color theme="1"/>
        <rFont val="Calibri"/>
        <family val="2"/>
        <scheme val="minor"/>
      </rPr>
      <t>POA 2024</t>
    </r>
    <r>
      <rPr>
        <sz val="12"/>
        <color theme="1"/>
        <rFont val="Calibri"/>
        <family val="2"/>
        <scheme val="minor"/>
      </rPr>
      <t>)</t>
    </r>
  </si>
  <si>
    <t>Almuerzo dia del Trabajo</t>
  </si>
  <si>
    <t>Salones Refrigerios para 2 encuentros con 15 personas</t>
  </si>
  <si>
    <t>RRHH-Almuerzo dia del trabajo</t>
  </si>
  <si>
    <t>Servidor para la red de aplicaciones</t>
  </si>
  <si>
    <t>Consejo Nacional Cambio Climatico y Mecanismo de Desarrollo Limpio</t>
  </si>
  <si>
    <t>Celebracion Dia de la Mujer en la Ciencia (60pers) 11F en la UASD</t>
  </si>
  <si>
    <t>Despacho Catering</t>
  </si>
  <si>
    <t xml:space="preserve">Caterin para 15 personas. </t>
  </si>
  <si>
    <t>Despacho Catering 1 er trimestre</t>
  </si>
  <si>
    <t>Despacho Catering 2do trimestre</t>
  </si>
  <si>
    <t>Despacho Catering 3er trimestre</t>
  </si>
  <si>
    <t>Despacho Catering 4to trimestre</t>
  </si>
  <si>
    <t>Despacho Catering 1er trimestre</t>
  </si>
  <si>
    <t xml:space="preserve">Caterin para 50-60 personas. </t>
  </si>
  <si>
    <t>Impresora para Direcccion Adm y Fin</t>
  </si>
  <si>
    <t>compra DEBAJO DEL UMBRAL</t>
  </si>
  <si>
    <t>Instalación y adquisicion de Software de gestion de recursos humanos</t>
  </si>
  <si>
    <t>Uniformes servicios generales</t>
  </si>
  <si>
    <t>RRHH-Uniformes para personal servicios generales</t>
  </si>
  <si>
    <t xml:space="preserve">Brunch navideño </t>
  </si>
  <si>
    <t>RRHH-Gestion del desarrollo, Plan de capacitacion.</t>
  </si>
  <si>
    <t>Plan de capacitacion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</si>
</sst>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RD$-1C0A]* #,##0.00_-;\-[$RD$-1C0A]* #,##0.00_-;_-[$RD$-1C0A]* &quot;-&quot;??_-;_-@_-"/>
    <numFmt numFmtId="165" formatCode="_-[$RD$-1C0A]* #,##0.00_ ;_-[$RD$-1C0A]* \-#,##0.00\ ;_-[$RD$-1C0A]* &quot; - &quot;??_ ;_-@_ "/>
    <numFmt numFmtId="166" formatCode="_(* #,##0_);_(* \(#,##0\);_(* &quot;-&quot;??_);_(@_)"/>
    <numFmt numFmtId="167" formatCode="dd\-mm\-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Narrow"/>
      <family val="2"/>
    </font>
    <font>
      <b/>
      <sz val="8"/>
      <color theme="1"/>
      <name val="Calibri"/>
      <family val="2"/>
      <scheme val="minor"/>
    </font>
    <font>
      <sz val="8"/>
      <color theme="1"/>
      <name val="Calibri"/>
      <family val="2"/>
      <scheme val="minor"/>
    </font>
    <font>
      <sz val="11"/>
      <name val="Calibri"/>
      <family val="2"/>
      <scheme val="minor"/>
    </font>
    <font>
      <b/>
      <sz val="9"/>
      <name val="Tahoma"/>
      <family val="2"/>
    </font>
    <font>
      <b/>
      <sz val="11"/>
      <color theme="1"/>
      <name val="Arial Narrow"/>
      <family val="2"/>
    </font>
    <font>
      <b/>
      <sz val="11"/>
      <color rgb="FF002060"/>
      <name val="Arial Narrow"/>
      <family val="2"/>
    </font>
    <font>
      <sz val="11"/>
      <color rgb="FF000000"/>
      <name val="Arial"/>
      <family val="2"/>
    </font>
    <font>
      <sz val="11"/>
      <color rgb="FF000000"/>
      <name val="Calibri"/>
      <family val="2"/>
      <scheme val="minor"/>
    </font>
    <font>
      <sz val="12"/>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4" tint="0.59999389629810485"/>
        <bgColor indexed="64"/>
      </patternFill>
    </fill>
  </fills>
  <borders count="17">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medium">
        <color auto="1"/>
      </left>
      <right style="medium">
        <color auto="1"/>
      </right>
      <top/>
      <bottom/>
      <diagonal/>
    </border>
    <border>
      <left/>
      <right style="thin">
        <color auto="1"/>
      </right>
      <top/>
      <bottom style="thin">
        <color auto="1"/>
      </bottom>
      <diagonal/>
    </border>
    <border>
      <left/>
      <right style="thin">
        <color auto="1"/>
      </right>
      <top style="thin">
        <color auto="1"/>
      </top>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2" borderId="0" applyNumberFormat="0" applyBorder="0" applyAlignment="0" applyProtection="0"/>
    <xf numFmtId="0" fontId="5" fillId="6" borderId="6">
      <alignment horizontal="center" vertical="center" textRotation="90" wrapText="1"/>
    </xf>
    <xf numFmtId="0" fontId="5" fillId="7" borderId="6">
      <alignment horizontal="center" vertical="center"/>
    </xf>
    <xf numFmtId="0" fontId="5" fillId="7" borderId="6">
      <alignment horizontal="center" vertical="center"/>
    </xf>
    <xf numFmtId="0" fontId="5" fillId="0" borderId="6">
      <alignment horizontal="left" vertical="center"/>
    </xf>
    <xf numFmtId="0" fontId="5" fillId="0" borderId="6">
      <alignment horizontal="center" vertical="center"/>
    </xf>
    <xf numFmtId="0" fontId="5" fillId="8" borderId="6">
      <alignment horizontal="center" vertical="center"/>
    </xf>
    <xf numFmtId="0" fontId="6" fillId="9" borderId="8">
      <alignment horizontal="center" vertical="center"/>
    </xf>
    <xf numFmtId="0" fontId="6" fillId="9" borderId="8">
      <alignment horizontal="center" vertical="center" wrapText="1"/>
    </xf>
    <xf numFmtId="165" fontId="6" fillId="9" borderId="8">
      <alignment horizontal="center" vertical="center"/>
    </xf>
    <xf numFmtId="0" fontId="5" fillId="6" borderId="6">
      <alignment horizontal="center" vertical="center" wrapText="1"/>
    </xf>
    <xf numFmtId="167" fontId="5" fillId="0" borderId="6">
      <alignment horizontal="center" vertical="center"/>
    </xf>
    <xf numFmtId="0" fontId="5" fillId="0" borderId="6">
      <alignment horizontal="center" vertical="center"/>
    </xf>
    <xf numFmtId="0" fontId="6" fillId="9" borderId="8">
      <alignment horizontal="left" vertical="center"/>
    </xf>
  </cellStyleXfs>
  <cellXfs count="145">
    <xf numFmtId="0" fontId="0" fillId="0" borderId="0" xfId="0"/>
    <xf numFmtId="0" fontId="4" fillId="0" borderId="0" xfId="0" applyFont="1" applyAlignment="1">
      <alignment vertical="center"/>
    </xf>
    <xf numFmtId="0" fontId="7" fillId="3" borderId="8" xfId="3" applyFont="1" applyFill="1" applyBorder="1" applyAlignment="1" applyProtection="1">
      <alignment horizontal="center" vertical="center"/>
      <protection locked="0"/>
    </xf>
    <xf numFmtId="0" fontId="7" fillId="3" borderId="8" xfId="3" applyFont="1" applyFill="1" applyBorder="1" applyAlignment="1" applyProtection="1">
      <alignment horizontal="center"/>
      <protection locked="0"/>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pplyProtection="1">
      <alignment vertical="center"/>
      <protection hidden="1"/>
    </xf>
    <xf numFmtId="0" fontId="9" fillId="3" borderId="0" xfId="0" applyFont="1" applyFill="1" applyAlignment="1">
      <alignment vertical="top" wrapText="1"/>
    </xf>
    <xf numFmtId="0" fontId="9" fillId="3" borderId="0" xfId="0" applyFont="1" applyFill="1" applyAlignment="1">
      <alignment vertical="center" wrapText="1"/>
    </xf>
    <xf numFmtId="0" fontId="4" fillId="3" borderId="0" xfId="0" applyFont="1" applyFill="1" applyAlignment="1">
      <alignment vertical="center"/>
    </xf>
    <xf numFmtId="0" fontId="9" fillId="3" borderId="2" xfId="0" applyFont="1" applyFill="1" applyBorder="1" applyAlignment="1">
      <alignment vertical="center"/>
    </xf>
    <xf numFmtId="0" fontId="9" fillId="3" borderId="0" xfId="0" applyFont="1" applyFill="1" applyAlignment="1">
      <alignment vertical="center"/>
    </xf>
    <xf numFmtId="0" fontId="10" fillId="3" borderId="0" xfId="0" applyFont="1" applyFill="1" applyAlignment="1">
      <alignment horizontal="left" vertical="center"/>
    </xf>
    <xf numFmtId="0" fontId="4" fillId="3" borderId="0" xfId="0" applyFont="1" applyFill="1" applyAlignment="1" applyProtection="1">
      <alignment vertical="center"/>
      <protection hidden="1"/>
    </xf>
    <xf numFmtId="0" fontId="4" fillId="3" borderId="3" xfId="0" applyFont="1" applyFill="1" applyBorder="1" applyAlignment="1" applyProtection="1">
      <alignment vertical="center"/>
      <protection hidden="1"/>
    </xf>
    <xf numFmtId="38" fontId="9" fillId="4" borderId="4" xfId="0" applyNumberFormat="1" applyFont="1" applyFill="1" applyBorder="1" applyAlignment="1">
      <alignment vertical="center" wrapText="1"/>
    </xf>
    <xf numFmtId="0" fontId="10" fillId="3" borderId="0" xfId="0" applyFont="1" applyFill="1" applyAlignment="1">
      <alignment vertical="center"/>
    </xf>
    <xf numFmtId="0" fontId="9" fillId="5" borderId="4" xfId="0" applyFont="1" applyFill="1" applyBorder="1" applyAlignment="1">
      <alignment horizontal="left" vertical="center"/>
    </xf>
    <xf numFmtId="0" fontId="9" fillId="5" borderId="7" xfId="0" applyFont="1" applyFill="1" applyBorder="1" applyAlignment="1">
      <alignment horizontal="left" vertical="center"/>
    </xf>
    <xf numFmtId="0" fontId="4" fillId="3" borderId="2" xfId="0" applyFont="1" applyFill="1" applyBorder="1" applyAlignment="1" applyProtection="1">
      <alignment vertical="center"/>
      <protection hidden="1"/>
    </xf>
    <xf numFmtId="0" fontId="2" fillId="7" borderId="6" xfId="5" applyFont="1">
      <alignment horizontal="center" vertical="center"/>
    </xf>
    <xf numFmtId="14" fontId="2" fillId="7" borderId="6" xfId="5" applyNumberFormat="1" applyFont="1">
      <alignment horizontal="center" vertical="center"/>
    </xf>
    <xf numFmtId="0" fontId="2" fillId="7" borderId="6" xfId="6" applyFont="1">
      <alignment horizontal="center" vertical="center"/>
    </xf>
    <xf numFmtId="0" fontId="2" fillId="0" borderId="6" xfId="7" applyFont="1" applyProtection="1">
      <alignment horizontal="left" vertical="center"/>
      <protection locked="0"/>
    </xf>
    <xf numFmtId="0" fontId="2" fillId="8" borderId="6" xfId="9" applyFont="1">
      <alignment horizontal="center" vertical="center"/>
    </xf>
    <xf numFmtId="0" fontId="0" fillId="9" borderId="8" xfId="10" applyFont="1" applyProtection="1">
      <alignment horizontal="center" vertical="center"/>
      <protection locked="0"/>
    </xf>
    <xf numFmtId="0" fontId="0" fillId="9" borderId="8" xfId="11" applyFont="1">
      <alignment horizontal="center" vertical="center" wrapText="1"/>
    </xf>
    <xf numFmtId="165" fontId="0" fillId="9" borderId="8" xfId="12" applyFont="1" applyProtection="1">
      <alignment horizontal="center" vertical="center"/>
      <protection locked="0"/>
    </xf>
    <xf numFmtId="165" fontId="0" fillId="9" borderId="8" xfId="12" applyFont="1">
      <alignment horizontal="center" vertical="center"/>
    </xf>
    <xf numFmtId="0" fontId="2" fillId="8" borderId="8" xfId="9" applyFont="1" applyBorder="1">
      <alignment horizontal="center" vertical="center"/>
    </xf>
    <xf numFmtId="165" fontId="0" fillId="8" borderId="8" xfId="12" applyFont="1" applyFill="1">
      <alignment horizontal="center" vertical="center"/>
    </xf>
    <xf numFmtId="0" fontId="2" fillId="10" borderId="6" xfId="13" applyFont="1" applyFill="1">
      <alignment horizontal="center" vertical="center" wrapText="1"/>
    </xf>
    <xf numFmtId="0" fontId="2" fillId="0" borderId="6" xfId="8" applyFont="1" applyAlignment="1" applyProtection="1">
      <alignment horizontal="center" vertical="center" wrapText="1"/>
      <protection locked="0"/>
    </xf>
    <xf numFmtId="0" fontId="2" fillId="0" borderId="6" xfId="8" applyFont="1" applyProtection="1">
      <alignment horizontal="center" vertical="center"/>
      <protection locked="0"/>
    </xf>
    <xf numFmtId="0" fontId="2" fillId="10" borderId="6" xfId="5" applyFont="1" applyFill="1">
      <alignment horizontal="center" vertical="center"/>
    </xf>
    <xf numFmtId="0" fontId="2" fillId="10" borderId="6" xfId="6" applyFont="1" applyFill="1">
      <alignment horizontal="center" vertical="center"/>
    </xf>
    <xf numFmtId="0" fontId="2" fillId="10" borderId="6" xfId="7" applyFont="1" applyFill="1" applyProtection="1">
      <alignment horizontal="left" vertical="center"/>
      <protection locked="0"/>
    </xf>
    <xf numFmtId="0" fontId="2" fillId="6" borderId="6" xfId="13" applyFont="1">
      <alignment horizontal="center" vertical="center" wrapText="1"/>
    </xf>
    <xf numFmtId="0" fontId="2" fillId="8" borderId="9" xfId="9" applyFont="1" applyBorder="1">
      <alignment horizontal="center" vertical="center"/>
    </xf>
    <xf numFmtId="0" fontId="0" fillId="9" borderId="10" xfId="11" applyFont="1" applyBorder="1">
      <alignment horizontal="center" vertical="center" wrapText="1"/>
    </xf>
    <xf numFmtId="0" fontId="0" fillId="9" borderId="10" xfId="10" applyFont="1" applyBorder="1" applyProtection="1">
      <alignment horizontal="center" vertical="center"/>
      <protection locked="0"/>
    </xf>
    <xf numFmtId="165" fontId="0" fillId="9" borderId="10" xfId="12" applyFont="1" applyBorder="1" applyProtection="1">
      <alignment horizontal="center" vertical="center"/>
      <protection locked="0"/>
    </xf>
    <xf numFmtId="165" fontId="0" fillId="9" borderId="10" xfId="12" applyFont="1" applyBorder="1">
      <alignment horizontal="center" vertical="center"/>
    </xf>
    <xf numFmtId="0" fontId="11" fillId="0" borderId="0" xfId="0" applyFont="1" applyAlignment="1">
      <alignment wrapText="1"/>
    </xf>
    <xf numFmtId="0" fontId="0" fillId="0" borderId="0" xfId="0" applyAlignment="1">
      <alignment horizontal="center" vertical="center"/>
    </xf>
    <xf numFmtId="0" fontId="2" fillId="8" borderId="11" xfId="9" applyFont="1" applyBorder="1">
      <alignment horizontal="center" vertical="center"/>
    </xf>
    <xf numFmtId="0" fontId="0" fillId="0" borderId="8" xfId="0" applyBorder="1" applyAlignment="1">
      <alignment horizontal="center" vertical="center"/>
    </xf>
    <xf numFmtId="0" fontId="11" fillId="0" borderId="0" xfId="0" applyFont="1" applyAlignment="1">
      <alignment horizontal="center" wrapText="1"/>
    </xf>
    <xf numFmtId="0" fontId="0" fillId="0" borderId="0" xfId="0" applyAlignment="1">
      <alignment horizontal="center" vertical="center" wrapText="1"/>
    </xf>
    <xf numFmtId="0" fontId="2" fillId="8" borderId="12" xfId="9" applyFont="1" applyBorder="1">
      <alignment horizontal="center" vertical="center"/>
    </xf>
    <xf numFmtId="165" fontId="0" fillId="8" borderId="12" xfId="12" applyFont="1" applyFill="1" applyBorder="1">
      <alignment horizontal="center" vertical="center"/>
    </xf>
    <xf numFmtId="0" fontId="0" fillId="0" borderId="13" xfId="0" applyBorder="1" applyAlignment="1">
      <alignment horizontal="center" wrapText="1"/>
    </xf>
    <xf numFmtId="0" fontId="0" fillId="0" borderId="8" xfId="11" applyFont="1" applyFill="1">
      <alignment horizontal="center" vertical="center" wrapText="1"/>
    </xf>
    <xf numFmtId="0" fontId="0" fillId="0" borderId="8" xfId="3" applyFont="1" applyFill="1" applyBorder="1" applyAlignment="1" applyProtection="1">
      <alignment horizontal="center"/>
      <protection locked="0"/>
    </xf>
    <xf numFmtId="44" fontId="0" fillId="0" borderId="8" xfId="2" applyFont="1" applyFill="1" applyBorder="1" applyAlignment="1" applyProtection="1">
      <alignment horizontal="center" vertical="center"/>
      <protection locked="0"/>
    </xf>
    <xf numFmtId="165" fontId="0" fillId="0" borderId="8" xfId="12" applyFont="1" applyFill="1">
      <alignment horizontal="center" vertical="center"/>
    </xf>
    <xf numFmtId="165" fontId="2" fillId="3" borderId="8" xfId="9" applyNumberFormat="1" applyFont="1" applyFill="1" applyBorder="1">
      <alignment horizontal="center" vertical="center"/>
    </xf>
    <xf numFmtId="165" fontId="0" fillId="3" borderId="8" xfId="12" applyFont="1" applyFill="1">
      <alignment horizontal="center" vertical="center"/>
    </xf>
    <xf numFmtId="0" fontId="0" fillId="0" borderId="8" xfId="0" applyBorder="1" applyAlignment="1">
      <alignment horizontal="left"/>
    </xf>
    <xf numFmtId="0" fontId="0" fillId="3" borderId="8" xfId="3" applyFont="1" applyFill="1" applyBorder="1" applyAlignment="1" applyProtection="1">
      <alignment horizontal="center"/>
      <protection locked="0"/>
    </xf>
    <xf numFmtId="0" fontId="0" fillId="0" borderId="8" xfId="0" applyBorder="1" applyAlignment="1">
      <alignment horizontal="center" vertical="center" wrapText="1"/>
    </xf>
    <xf numFmtId="0" fontId="0" fillId="0" borderId="10" xfId="0" applyBorder="1" applyAlignment="1">
      <alignment horizontal="left"/>
    </xf>
    <xf numFmtId="0" fontId="3" fillId="3" borderId="8" xfId="3" applyFill="1" applyBorder="1" applyAlignment="1" applyProtection="1">
      <alignment horizontal="center"/>
      <protection locked="0"/>
    </xf>
    <xf numFmtId="0" fontId="0" fillId="0" borderId="8" xfId="0" applyBorder="1" applyAlignment="1">
      <alignment horizontal="center"/>
    </xf>
    <xf numFmtId="0" fontId="0" fillId="0" borderId="8" xfId="0" applyBorder="1" applyProtection="1">
      <protection locked="0"/>
    </xf>
    <xf numFmtId="0" fontId="0" fillId="3" borderId="8" xfId="3" applyFont="1" applyFill="1" applyBorder="1" applyAlignment="1" applyProtection="1">
      <alignment horizontal="center" vertical="center"/>
      <protection locked="0"/>
    </xf>
    <xf numFmtId="166" fontId="0" fillId="0" borderId="13" xfId="1" applyNumberFormat="1" applyFont="1" applyFill="1" applyBorder="1" applyAlignment="1">
      <alignment horizontal="right" vertical="center" wrapText="1"/>
    </xf>
    <xf numFmtId="166" fontId="3" fillId="3" borderId="8" xfId="3" applyNumberFormat="1" applyFill="1" applyBorder="1" applyAlignment="1" applyProtection="1">
      <alignment horizontal="center"/>
      <protection locked="0"/>
    </xf>
    <xf numFmtId="0" fontId="2" fillId="3" borderId="8" xfId="9" applyFont="1" applyFill="1" applyBorder="1">
      <alignment horizontal="center" vertical="center"/>
    </xf>
    <xf numFmtId="0" fontId="2" fillId="3" borderId="8" xfId="9" applyFont="1" applyFill="1" applyBorder="1" applyAlignment="1">
      <alignment horizontal="left"/>
    </xf>
    <xf numFmtId="0" fontId="2" fillId="3" borderId="8" xfId="9" applyFont="1" applyFill="1" applyBorder="1" applyProtection="1">
      <alignment horizontal="center" vertical="center"/>
      <protection locked="0"/>
    </xf>
    <xf numFmtId="0" fontId="0" fillId="0" borderId="8" xfId="0" applyBorder="1" applyAlignment="1">
      <alignment horizontal="left" wrapText="1"/>
    </xf>
    <xf numFmtId="0" fontId="7" fillId="3" borderId="8" xfId="0" applyFont="1" applyFill="1" applyBorder="1" applyAlignment="1">
      <alignment horizontal="left" vertical="center" wrapText="1"/>
    </xf>
    <xf numFmtId="0" fontId="7" fillId="3" borderId="8" xfId="0" applyFont="1" applyFill="1" applyBorder="1" applyAlignment="1">
      <alignment horizontal="left" wrapText="1"/>
    </xf>
    <xf numFmtId="0" fontId="7" fillId="0" borderId="8" xfId="0" applyFont="1" applyBorder="1" applyAlignment="1">
      <alignment horizontal="left" vertical="center" wrapText="1"/>
    </xf>
    <xf numFmtId="0" fontId="7" fillId="3" borderId="13"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left" wrapText="1"/>
    </xf>
    <xf numFmtId="0" fontId="2" fillId="3" borderId="8" xfId="9" applyFont="1" applyFill="1" applyBorder="1" applyAlignment="1" applyProtection="1">
      <alignment horizontal="right" vertical="center"/>
      <protection locked="0"/>
    </xf>
    <xf numFmtId="0" fontId="2" fillId="3" borderId="0" xfId="9" applyFont="1" applyFill="1" applyBorder="1">
      <alignment horizontal="center" vertical="center"/>
    </xf>
    <xf numFmtId="165" fontId="0" fillId="3" borderId="0" xfId="12" applyFont="1" applyFill="1" applyBorder="1">
      <alignment horizontal="center" vertical="center"/>
    </xf>
    <xf numFmtId="3" fontId="2" fillId="3" borderId="8" xfId="9" applyNumberFormat="1" applyFont="1" applyFill="1" applyBorder="1" applyProtection="1">
      <alignment horizontal="center" vertical="center"/>
      <protection locked="0"/>
    </xf>
    <xf numFmtId="0" fontId="13" fillId="0" borderId="8" xfId="0" applyFont="1" applyBorder="1" applyAlignment="1">
      <alignment horizontal="left" vertical="center" wrapText="1"/>
    </xf>
    <xf numFmtId="0" fontId="5" fillId="8" borderId="6" xfId="9">
      <alignment horizontal="center" vertical="center"/>
    </xf>
    <xf numFmtId="0" fontId="2" fillId="3" borderId="8" xfId="9" applyFont="1" applyFill="1" applyBorder="1" applyAlignment="1">
      <alignment horizontal="left" wrapText="1"/>
    </xf>
    <xf numFmtId="0" fontId="2" fillId="3" borderId="12" xfId="9" applyFont="1" applyFill="1" applyBorder="1">
      <alignment horizontal="center" vertical="center"/>
    </xf>
    <xf numFmtId="0" fontId="5" fillId="6" borderId="6" xfId="13">
      <alignment horizontal="center" vertical="center" wrapText="1"/>
    </xf>
    <xf numFmtId="0" fontId="5" fillId="0" borderId="6" xfId="8" applyProtection="1">
      <alignment horizontal="center" vertical="center"/>
      <protection locked="0"/>
    </xf>
    <xf numFmtId="0" fontId="5" fillId="7" borderId="6" xfId="5">
      <alignment horizontal="center" vertical="center"/>
    </xf>
    <xf numFmtId="167" fontId="5" fillId="0" borderId="6" xfId="14" applyProtection="1">
      <alignment horizontal="center" vertical="center"/>
      <protection locked="0"/>
    </xf>
    <xf numFmtId="0" fontId="5" fillId="7" borderId="6" xfId="6">
      <alignment horizontal="center" vertical="center"/>
    </xf>
    <xf numFmtId="0" fontId="5" fillId="0" borderId="6" xfId="7" applyProtection="1">
      <alignment horizontal="left" vertical="center"/>
      <protection locked="0"/>
    </xf>
    <xf numFmtId="0" fontId="5" fillId="0" borderId="6" xfId="15">
      <alignment horizontal="center" vertical="center"/>
    </xf>
    <xf numFmtId="0" fontId="1" fillId="9" borderId="8" xfId="11" applyFont="1">
      <alignment horizontal="center" vertical="center" wrapText="1"/>
    </xf>
    <xf numFmtId="0" fontId="1" fillId="9" borderId="8" xfId="10" applyFont="1" applyProtection="1">
      <alignment horizontal="center" vertical="center"/>
      <protection locked="0"/>
    </xf>
    <xf numFmtId="0" fontId="1" fillId="9" borderId="8" xfId="16" applyFont="1" applyProtection="1">
      <alignment horizontal="left" vertical="center"/>
      <protection locked="0"/>
    </xf>
    <xf numFmtId="165" fontId="1" fillId="9" borderId="8" xfId="12" applyFont="1" applyProtection="1">
      <alignment horizontal="center" vertical="center"/>
      <protection locked="0"/>
    </xf>
    <xf numFmtId="165" fontId="1" fillId="9" borderId="8" xfId="12" applyFont="1">
      <alignment horizontal="center" vertical="center"/>
    </xf>
    <xf numFmtId="165" fontId="1" fillId="8" borderId="8" xfId="12" applyFont="1" applyFill="1">
      <alignment horizontal="center" vertical="center"/>
    </xf>
    <xf numFmtId="0" fontId="0" fillId="3" borderId="8" xfId="0" applyFill="1" applyBorder="1" applyAlignment="1">
      <alignment horizontal="left"/>
    </xf>
    <xf numFmtId="0" fontId="1" fillId="3" borderId="8" xfId="9" applyFont="1" applyFill="1" applyBorder="1" applyAlignment="1">
      <alignment horizontal="left" wrapText="1"/>
    </xf>
    <xf numFmtId="0" fontId="1" fillId="3" borderId="8" xfId="9" applyFont="1" applyFill="1" applyBorder="1" applyAlignment="1">
      <alignment horizontal="left" vertical="top" wrapText="1"/>
    </xf>
    <xf numFmtId="165" fontId="2" fillId="3" borderId="10" xfId="9" applyNumberFormat="1" applyFont="1" applyFill="1" applyBorder="1">
      <alignment horizontal="center" vertical="center"/>
    </xf>
    <xf numFmtId="0" fontId="0" fillId="3" borderId="8" xfId="0" applyFill="1" applyBorder="1" applyAlignment="1">
      <alignment horizontal="center" vertical="center"/>
    </xf>
    <xf numFmtId="0" fontId="0" fillId="3" borderId="8" xfId="11" applyFont="1" applyFill="1">
      <alignment horizontal="center" vertical="center" wrapText="1"/>
    </xf>
    <xf numFmtId="165" fontId="0" fillId="3" borderId="8" xfId="12" applyFont="1" applyFill="1" applyProtection="1">
      <alignment horizontal="center" vertical="center"/>
      <protection locked="0"/>
    </xf>
    <xf numFmtId="0" fontId="2" fillId="3" borderId="6" xfId="8" applyFont="1" applyFill="1" applyAlignment="1" applyProtection="1">
      <alignment horizontal="center" vertical="center" wrapText="1"/>
      <protection locked="0"/>
    </xf>
    <xf numFmtId="0" fontId="0" fillId="3" borderId="8" xfId="0" applyFill="1" applyBorder="1" applyAlignment="1">
      <alignment horizontal="left" wrapText="1"/>
    </xf>
    <xf numFmtId="0" fontId="0" fillId="3" borderId="13" xfId="0" applyFill="1" applyBorder="1" applyAlignment="1">
      <alignment horizontal="left"/>
    </xf>
    <xf numFmtId="0" fontId="12" fillId="3" borderId="8" xfId="0" applyFont="1" applyFill="1" applyBorder="1" applyAlignment="1">
      <alignment horizontal="left" wrapText="1"/>
    </xf>
    <xf numFmtId="0" fontId="0" fillId="3" borderId="0" xfId="0" applyFill="1"/>
    <xf numFmtId="0" fontId="1" fillId="3" borderId="8" xfId="9" applyFont="1" applyFill="1" applyBorder="1" applyAlignment="1">
      <alignment horizontal="left"/>
    </xf>
    <xf numFmtId="0" fontId="1" fillId="3" borderId="8" xfId="9" applyFont="1" applyFill="1" applyBorder="1">
      <alignment horizontal="center" vertical="center"/>
    </xf>
    <xf numFmtId="0" fontId="2" fillId="8" borderId="15" xfId="9" applyFont="1" applyBorder="1">
      <alignment horizontal="center" vertical="center"/>
    </xf>
    <xf numFmtId="3" fontId="2" fillId="3" borderId="16" xfId="9" applyNumberFormat="1" applyFont="1" applyFill="1" applyBorder="1" applyProtection="1">
      <alignment horizontal="center" vertical="center"/>
      <protection locked="0"/>
    </xf>
    <xf numFmtId="0" fontId="0" fillId="0" borderId="0" xfId="0" applyAlignment="1">
      <alignment horizontal="left" wrapText="1"/>
    </xf>
    <xf numFmtId="0" fontId="2" fillId="3" borderId="0" xfId="9" applyFont="1" applyFill="1" applyBorder="1" applyProtection="1">
      <alignment horizontal="center" vertical="center"/>
      <protection locked="0"/>
    </xf>
    <xf numFmtId="0" fontId="12" fillId="3" borderId="8" xfId="0" applyFont="1" applyFill="1" applyBorder="1" applyAlignment="1">
      <alignment horizontal="left" vertical="center" wrapText="1"/>
    </xf>
    <xf numFmtId="4" fontId="2" fillId="3" borderId="8" xfId="9" applyNumberFormat="1" applyFont="1" applyFill="1" applyBorder="1" applyProtection="1">
      <alignment horizontal="center" vertical="center"/>
      <protection locked="0"/>
    </xf>
    <xf numFmtId="0" fontId="0" fillId="3" borderId="8" xfId="0" applyFill="1" applyBorder="1" applyAlignment="1">
      <alignment horizontal="center" wrapText="1"/>
    </xf>
    <xf numFmtId="0" fontId="0" fillId="3" borderId="8" xfId="10" applyFont="1" applyFill="1" applyProtection="1">
      <alignment horizontal="center" vertical="center"/>
      <protection locked="0"/>
    </xf>
    <xf numFmtId="44" fontId="0" fillId="3" borderId="8" xfId="2" applyFont="1" applyFill="1" applyBorder="1" applyAlignment="1" applyProtection="1">
      <alignment horizontal="center" vertical="center"/>
      <protection locked="0"/>
    </xf>
    <xf numFmtId="0" fontId="0" fillId="3" borderId="8" xfId="0" applyFill="1" applyBorder="1" applyAlignment="1">
      <alignment horizontal="center" vertical="center" wrapText="1"/>
    </xf>
    <xf numFmtId="0" fontId="2" fillId="6" borderId="11" xfId="4" applyFont="1" applyBorder="1">
      <alignment horizontal="center" vertical="center" textRotation="90" wrapText="1"/>
    </xf>
    <xf numFmtId="0" fontId="2" fillId="6" borderId="14" xfId="4" applyFont="1" applyBorder="1">
      <alignment horizontal="center" vertical="center" textRotation="90" wrapText="1"/>
    </xf>
    <xf numFmtId="0" fontId="2" fillId="6" borderId="9" xfId="4" applyFont="1" applyBorder="1">
      <alignment horizontal="center" vertical="center" textRotation="90" wrapText="1"/>
    </xf>
    <xf numFmtId="0" fontId="2" fillId="6" borderId="6" xfId="4" applyFont="1">
      <alignment horizontal="center" vertical="center" textRotation="90" wrapText="1"/>
    </xf>
    <xf numFmtId="0" fontId="2" fillId="0" borderId="6" xfId="8" applyFont="1">
      <alignment horizontal="center" vertical="center"/>
    </xf>
    <xf numFmtId="0" fontId="2" fillId="10" borderId="6" xfId="4" applyFont="1" applyFill="1">
      <alignment horizontal="center" vertical="center" textRotation="90" wrapText="1"/>
    </xf>
    <xf numFmtId="0" fontId="2" fillId="10" borderId="6" xfId="8" applyFont="1" applyFill="1">
      <alignment horizontal="center" vertical="center"/>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14" fontId="2" fillId="0" borderId="4" xfId="0" applyNumberFormat="1" applyFont="1" applyBorder="1" applyAlignment="1" applyProtection="1">
      <alignment horizontal="center" vertical="center" wrapText="1"/>
      <protection locked="0"/>
    </xf>
    <xf numFmtId="14" fontId="2" fillId="0" borderId="5" xfId="0" applyNumberFormat="1" applyFont="1" applyBorder="1" applyAlignment="1" applyProtection="1">
      <alignment horizontal="center" vertical="center" wrapText="1"/>
      <protection locked="0"/>
    </xf>
    <xf numFmtId="0" fontId="5" fillId="6" borderId="6" xfId="4">
      <alignment horizontal="center" vertical="center" textRotation="90" wrapText="1"/>
    </xf>
    <xf numFmtId="0" fontId="5" fillId="0" borderId="6" xfId="8">
      <alignment horizontal="center" vertical="center"/>
    </xf>
    <xf numFmtId="0" fontId="4" fillId="0" borderId="0" xfId="0" applyFont="1" applyAlignment="1" applyProtection="1">
      <alignment horizontal="center" vertical="center"/>
      <protection hidden="1"/>
    </xf>
    <xf numFmtId="0" fontId="9" fillId="4" borderId="0" xfId="0" applyFont="1" applyFill="1" applyAlignment="1">
      <alignment horizontal="center" vertical="top" wrapText="1"/>
    </xf>
    <xf numFmtId="0" fontId="9" fillId="4" borderId="0" xfId="0" applyFont="1" applyFill="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6" xfId="0" applyFont="1" applyFill="1" applyBorder="1" applyAlignment="1">
      <alignment vertical="center"/>
    </xf>
    <xf numFmtId="164" fontId="2" fillId="0" borderId="6" xfId="0" applyNumberFormat="1" applyFont="1" applyFill="1" applyBorder="1" applyAlignment="1">
      <alignment vertical="center"/>
    </xf>
    <xf numFmtId="0" fontId="0" fillId="0" borderId="0" xfId="0" applyFill="1"/>
    <xf numFmtId="0" fontId="2" fillId="0" borderId="0" xfId="8" applyFont="1" applyFill="1" applyBorder="1" applyProtection="1">
      <alignment horizontal="center" vertical="center"/>
      <protection locked="0"/>
    </xf>
  </cellXfs>
  <cellStyles count="17">
    <cellStyle name="ArticleBody" xfId="10" xr:uid="{3C7F84C0-50A6-4DDA-B3AB-CDC4EDD66D7C}"/>
    <cellStyle name="ArticleBody_currency" xfId="12" xr:uid="{D26CAEEC-E1E8-4C12-B266-6E0033FA6782}"/>
    <cellStyle name="ArticleBody_text" xfId="16" xr:uid="{0A828894-042A-4117-99FA-8D6FA6D9D426}"/>
    <cellStyle name="ArticleBody_UNSCPCDescription" xfId="11" xr:uid="{F647746B-84F8-4228-8962-AEDCD8912BED}"/>
    <cellStyle name="ArticleHeader" xfId="9" xr:uid="{1E50EBB4-E05B-4968-BAB6-54ECB5A92A2E}"/>
    <cellStyle name="Énfasis2" xfId="3" builtinId="33"/>
    <cellStyle name="Millares" xfId="1" builtinId="3"/>
    <cellStyle name="Moneda" xfId="2" builtinId="4"/>
    <cellStyle name="Normal" xfId="0" builtinId="0"/>
    <cellStyle name="ProcessBody" xfId="8" xr:uid="{EA315A37-AB5C-4D75-93A2-A5F429769A83}"/>
    <cellStyle name="ProcessBody_address" xfId="7" xr:uid="{4835E740-296D-400F-9EF5-184141414E8E}"/>
    <cellStyle name="ProcessBody_datetime" xfId="14" xr:uid="{8FB1756C-D507-4DBF-A2EF-8F5B65318470}"/>
    <cellStyle name="ProcessBody_number" xfId="15" xr:uid="{04E9BFD5-6042-420F-B289-8A839B2E134A}"/>
    <cellStyle name="ProcessHeader" xfId="13" xr:uid="{667A8A0C-29AE-4EC8-BAC8-7019AD62123F}"/>
    <cellStyle name="ProcessHeader_vertical" xfId="4" xr:uid="{EA1855EE-392C-43BD-B771-CE00A35B0D86}"/>
    <cellStyle name="ProcessSubHeader" xfId="5" xr:uid="{99813C42-0D00-4423-815C-9506DE177216}"/>
    <cellStyle name="ProcessSubHeader_lugar" xfId="6" xr:uid="{D9B447D2-739D-4E37-ABCD-9F76228426F9}"/>
  </cellStyles>
  <dxfs count="479">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color theme="1"/>
      </font>
    </dxf>
    <dxf>
      <font>
        <strike val="0"/>
        <outline val="0"/>
        <shadow val="0"/>
        <u val="none"/>
        <vertAlign val="baseline"/>
        <sz val="11"/>
        <color theme="1"/>
      </font>
    </dxf>
    <dxf>
      <font>
        <strike val="0"/>
        <outline val="0"/>
        <shadow val="0"/>
        <u val="none"/>
        <vertAlign val="baseline"/>
        <sz val="11"/>
        <color theme="1"/>
      </font>
    </dxf>
    <dxf>
      <font>
        <strike val="0"/>
        <outline val="0"/>
        <shadow val="0"/>
        <u val="none"/>
        <vertAlign val="baseline"/>
        <sz val="11"/>
        <color theme="1"/>
      </font>
      <border outline="0">
        <left style="thin">
          <color auto="1"/>
        </left>
      </border>
    </dxf>
    <dxf>
      <font>
        <strike val="0"/>
        <outline val="0"/>
        <shadow val="0"/>
        <u val="none"/>
        <vertAlign val="baseline"/>
        <sz val="11"/>
        <color theme="1"/>
        <name val="Calibri"/>
        <family val="2"/>
        <scheme val="minor"/>
      </font>
    </dxf>
    <dxf>
      <font>
        <strike val="0"/>
        <outline val="0"/>
        <shadow val="0"/>
        <u val="none"/>
        <vertAlign val="baseline"/>
        <sz val="11"/>
        <color theme="1"/>
      </font>
      <border outline="0">
        <right style="thin">
          <color auto="1"/>
        </right>
      </border>
    </dxf>
    <dxf>
      <font>
        <strike val="0"/>
        <outline val="0"/>
        <shadow val="0"/>
        <u val="none"/>
        <vertAlign val="baseline"/>
        <sz val="11"/>
        <color theme="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numFmt numFmtId="166" formatCode="_(* #,##0_);_(* \(#,##0\);_(* &quot;-&quot;??_);_(@_)"/>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1"/>
        <color theme="1"/>
      </font>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1"/>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1"/>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1"/>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1"/>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1"/>
        <color theme="1"/>
      </font>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1"/>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1"/>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1"/>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1"/>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1"/>
        <color theme="1"/>
      </font>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1"/>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1"/>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1"/>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dxf>
    <dxf>
      <font>
        <strike val="0"/>
        <outline val="0"/>
        <shadow val="0"/>
        <u val="none"/>
        <vertAlign val="baseline"/>
        <sz val="11"/>
      </font>
      <protection locked="0" hidden="0"/>
    </dxf>
    <dxf>
      <font>
        <strike val="0"/>
        <outline val="0"/>
        <shadow val="0"/>
        <u val="none"/>
        <vertAlign val="baseline"/>
        <sz val="11"/>
      </font>
      <protection locked="0" hidden="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dxf>
    <dxf>
      <font>
        <strike val="0"/>
        <outline val="0"/>
        <shadow val="0"/>
        <u val="none"/>
        <vertAlign val="baseline"/>
        <sz val="11"/>
      </font>
      <protection locked="0" hidden="0"/>
    </dxf>
    <dxf>
      <font>
        <strike val="0"/>
        <outline val="0"/>
        <shadow val="0"/>
        <u val="none"/>
        <vertAlign val="baseline"/>
        <sz val="11"/>
      </font>
      <protection locked="0" hidden="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numFmt numFmtId="165" formatCode="_-[$RD$-1C0A]* #,##0.00_ ;_-[$RD$-1C0A]* \-#,##0.00\ ;_-[$RD$-1C0A]* &quot; - &quot;??_ ;_-@_ "/>
    </dxf>
    <dxf>
      <font>
        <strike val="0"/>
        <outline val="0"/>
        <shadow val="0"/>
        <u val="none"/>
        <vertAlign val="baseline"/>
        <sz val="11"/>
      </font>
      <protection locked="0" hidden="0"/>
    </dxf>
    <dxf>
      <font>
        <strike val="0"/>
        <outline val="0"/>
        <shadow val="0"/>
        <u val="none"/>
        <vertAlign val="baseline"/>
        <sz val="11"/>
      </font>
      <protection locked="0" hidden="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protection locked="0" hidden="0"/>
    </dxf>
    <dxf>
      <font>
        <strike val="0"/>
        <outline val="0"/>
        <shadow val="0"/>
        <u val="none"/>
        <vertAlign val="baseline"/>
        <sz val="11"/>
      </font>
      <protection locked="0" hidden="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protection locked="0" hidden="0"/>
    </dxf>
    <dxf>
      <border outline="0">
        <top style="medium">
          <color auto="1"/>
        </top>
        <bottom style="thin">
          <color auto="1"/>
        </bottom>
      </border>
    </dxf>
    <dxf>
      <font>
        <strike val="0"/>
        <outline val="0"/>
        <shadow val="0"/>
        <u val="none"/>
        <vertAlign val="baseline"/>
        <sz val="11"/>
      </font>
    </dxf>
    <dxf>
      <border outline="0">
        <bottom style="medium">
          <color auto="1"/>
        </bottom>
      </border>
    </dxf>
    <dxf>
      <font>
        <strike val="0"/>
        <outline val="0"/>
        <shadow val="0"/>
        <u val="none"/>
        <vertAlign val="baseline"/>
        <sz val="11"/>
      </font>
      <border diagonalUp="0" diagonalDown="0" outline="0">
        <left style="medium">
          <color auto="1"/>
        </left>
        <right style="medium">
          <color auto="1"/>
        </right>
        <top/>
        <bottom/>
      </border>
    </dxf>
    <dxf>
      <font>
        <strike val="0"/>
        <outline val="0"/>
        <shadow val="0"/>
        <u val="none"/>
        <vertAlign val="baseline"/>
        <sz val="11"/>
      </font>
    </dxf>
    <dxf>
      <font>
        <strike val="0"/>
        <outline val="0"/>
        <shadow val="0"/>
        <u val="none"/>
        <vertAlign val="baseline"/>
        <sz val="11"/>
      </font>
      <protection locked="0" hidden="0"/>
    </dxf>
    <dxf>
      <font>
        <strike val="0"/>
        <outline val="0"/>
        <shadow val="0"/>
        <u val="none"/>
        <vertAlign val="baseline"/>
        <sz val="11"/>
      </font>
      <protection locked="0" hidden="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protection locked="0" hidden="0"/>
    </dxf>
    <dxf>
      <border outline="0">
        <top style="medium">
          <color auto="1"/>
        </top>
        <bottom style="thin">
          <color auto="1"/>
        </bottom>
      </border>
    </dxf>
    <dxf>
      <font>
        <strike val="0"/>
        <outline val="0"/>
        <shadow val="0"/>
        <u val="none"/>
        <vertAlign val="baseline"/>
        <sz val="11"/>
      </font>
    </dxf>
    <dxf>
      <border outline="0">
        <bottom style="medium">
          <color auto="1"/>
        </bottom>
      </border>
    </dxf>
    <dxf>
      <font>
        <strike val="0"/>
        <outline val="0"/>
        <shadow val="0"/>
        <u val="none"/>
        <vertAlign val="baseline"/>
        <sz val="11"/>
      </font>
      <border diagonalUp="0" diagonalDown="0" outline="0">
        <left style="medium">
          <color auto="1"/>
        </left>
        <right style="medium">
          <color auto="1"/>
        </right>
        <top/>
        <bottom/>
      </border>
    </dxf>
    <dxf>
      <font>
        <strike val="0"/>
        <outline val="0"/>
        <shadow val="0"/>
        <u val="none"/>
        <vertAlign val="baseline"/>
        <sz val="11"/>
      </font>
      <numFmt numFmtId="165" formatCode="_-[$RD$-1C0A]* #,##0.00_ ;_-[$RD$-1C0A]* \-#,##0.00\ ;_-[$RD$-1C0A]* &quot; - &quot;??_ ;_-@_ "/>
    </dxf>
    <dxf>
      <font>
        <strike val="0"/>
        <outline val="0"/>
        <shadow val="0"/>
        <u val="none"/>
        <vertAlign val="baseline"/>
        <sz val="11"/>
      </font>
      <protection locked="0" hidden="0"/>
    </dxf>
    <dxf>
      <font>
        <strike val="0"/>
        <outline val="0"/>
        <shadow val="0"/>
        <u val="none"/>
        <vertAlign val="baseline"/>
        <sz val="11"/>
      </font>
      <protection locked="0" hidden="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protection locked="0" hidden="0"/>
    </dxf>
    <dxf>
      <border outline="0">
        <top style="medium">
          <color auto="1"/>
        </top>
        <bottom style="thin">
          <color auto="1"/>
        </bottom>
      </border>
    </dxf>
    <dxf>
      <font>
        <strike val="0"/>
        <outline val="0"/>
        <shadow val="0"/>
        <u val="none"/>
        <vertAlign val="baseline"/>
        <sz val="11"/>
      </font>
    </dxf>
    <dxf>
      <border outline="0">
        <bottom style="medium">
          <color auto="1"/>
        </bottom>
      </border>
    </dxf>
    <dxf>
      <font>
        <strike val="0"/>
        <outline val="0"/>
        <shadow val="0"/>
        <u val="none"/>
        <vertAlign val="baseline"/>
        <sz val="11"/>
      </font>
      <border diagonalUp="0" diagonalDown="0" outline="0">
        <left style="medium">
          <color auto="1"/>
        </left>
        <right style="medium">
          <color auto="1"/>
        </right>
        <top/>
        <bottom/>
      </border>
    </dxf>
    <dxf>
      <font>
        <strike val="0"/>
        <outline val="0"/>
        <shadow val="0"/>
        <u val="none"/>
        <vertAlign val="baseline"/>
        <sz val="11"/>
      </font>
      <numFmt numFmtId="165" formatCode="_-[$RD$-1C0A]* #,##0.00_ ;_-[$RD$-1C0A]* \-#,##0.00\ ;_-[$RD$-1C0A]* &quot; - &quot;??_ ;_-@_ "/>
    </dxf>
    <dxf>
      <font>
        <strike val="0"/>
        <outline val="0"/>
        <shadow val="0"/>
        <u val="none"/>
        <vertAlign val="baseline"/>
        <sz val="11"/>
      </font>
      <protection locked="0" hidden="0"/>
    </dxf>
    <dxf>
      <font>
        <strike val="0"/>
        <outline val="0"/>
        <shadow val="0"/>
        <u val="none"/>
        <vertAlign val="baseline"/>
        <sz val="11"/>
      </font>
      <protection locked="0" hidden="0"/>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protection locked="0" hidden="0"/>
    </dxf>
    <dxf>
      <border outline="0">
        <top style="medium">
          <color auto="1"/>
        </top>
        <bottom style="thin">
          <color auto="1"/>
        </bottom>
      </border>
    </dxf>
    <dxf>
      <font>
        <strike val="0"/>
        <outline val="0"/>
        <shadow val="0"/>
        <u val="none"/>
        <vertAlign val="baseline"/>
        <sz val="11"/>
      </font>
    </dxf>
    <dxf>
      <border outline="0">
        <bottom style="medium">
          <color auto="1"/>
        </bottom>
      </border>
    </dxf>
    <dxf>
      <font>
        <strike val="0"/>
        <outline val="0"/>
        <shadow val="0"/>
        <u val="none"/>
        <vertAlign val="baseline"/>
        <sz val="11"/>
      </font>
      <border diagonalUp="0" diagonalDown="0" outline="0">
        <left style="medium">
          <color auto="1"/>
        </left>
        <right style="medium">
          <color auto="1"/>
        </right>
        <top/>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161925</xdr:rowOff>
    </xdr:from>
    <xdr:to>
      <xdr:col>0</xdr:col>
      <xdr:colOff>1958423</xdr:colOff>
      <xdr:row>6</xdr:row>
      <xdr:rowOff>76200</xdr:rowOff>
    </xdr:to>
    <xdr:pic>
      <xdr:nvPicPr>
        <xdr:cNvPr id="2" name="Picture 4">
          <a:extLst>
            <a:ext uri="{FF2B5EF4-FFF2-40B4-BE49-F238E27FC236}">
              <a16:creationId xmlns:a16="http://schemas.microsoft.com/office/drawing/2014/main" id="{074C45B4-248F-4991-BA25-CB5538267EEC}"/>
            </a:ext>
          </a:extLst>
        </xdr:cNvPr>
        <xdr:cNvPicPr>
          <a:picLocks noChangeAspect="1"/>
        </xdr:cNvPicPr>
      </xdr:nvPicPr>
      <xdr:blipFill>
        <a:blip xmlns:r="http://schemas.openxmlformats.org/officeDocument/2006/relationships" r:embed="rId1"/>
        <a:stretch>
          <a:fillRect/>
        </a:stretch>
      </xdr:blipFill>
      <xdr:spPr bwMode="auto">
        <a:xfrm>
          <a:off x="762000" y="161925"/>
          <a:ext cx="1962150" cy="6572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676275</xdr:colOff>
      <xdr:row>1</xdr:row>
      <xdr:rowOff>190500</xdr:rowOff>
    </xdr:from>
    <xdr:to>
      <xdr:col>5</xdr:col>
      <xdr:colOff>1685925</xdr:colOff>
      <xdr:row>6</xdr:row>
      <xdr:rowOff>148730</xdr:rowOff>
    </xdr:to>
    <xdr:pic>
      <xdr:nvPicPr>
        <xdr:cNvPr id="3" name="Picture 5">
          <a:extLst>
            <a:ext uri="{FF2B5EF4-FFF2-40B4-BE49-F238E27FC236}">
              <a16:creationId xmlns:a16="http://schemas.microsoft.com/office/drawing/2014/main" id="{BC7C596F-4504-412C-BBA3-B8AC4B63CD64}"/>
            </a:ext>
          </a:extLst>
        </xdr:cNvPr>
        <xdr:cNvPicPr>
          <a:picLocks/>
        </xdr:cNvPicPr>
      </xdr:nvPicPr>
      <xdr:blipFill>
        <a:blip xmlns:r="http://schemas.openxmlformats.org/officeDocument/2006/relationships" r:embed="rId2"/>
        <a:stretch>
          <a:fillRect/>
        </a:stretch>
      </xdr:blipFill>
      <xdr:spPr>
        <a:xfrm>
          <a:off x="10058400" y="381000"/>
          <a:ext cx="1009650" cy="10059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ACC_2022_CNCCMDL%20version%20sept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osado\OneDrive%20-%20Consejo%20Nacional%20para%20el%20Cambio%20Clim&#225;tico%20y%20Mecanismo%20de%20Desarrollo%20Limpio\Escritorio\PACC%202023\Plan%20Anual%20de%20Compras%202022%20BAJADO%20DE%20LA%20PAG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ACC"/>
      <sheetName val="Informacion "/>
      <sheetName val="UNSPSC"/>
      <sheetName val="ProcedureTemplate"/>
    </sheetNames>
    <sheetDataSet>
      <sheetData sheetId="0" refreshError="1"/>
      <sheetData sheetId="1" refreshError="1"/>
      <sheetData sheetId="2" refreshError="1">
        <row r="3">
          <cell r="A3" t="str">
            <v>CIBAO NORTE</v>
          </cell>
          <cell r="B3" t="str">
            <v>CIBAO NORTE</v>
          </cell>
          <cell r="C3" t="str">
            <v>Santiago</v>
          </cell>
          <cell r="E3" t="str">
            <v>Santiago</v>
          </cell>
          <cell r="F3" t="str">
            <v>Santiago de los Caballeros</v>
          </cell>
          <cell r="I3" t="str">
            <v>Arenoso</v>
          </cell>
          <cell r="J3" t="str">
            <v>Arenoso</v>
          </cell>
        </row>
        <row r="4">
          <cell r="A4" t="str">
            <v>CIBAO SUR</v>
          </cell>
          <cell r="B4" t="str">
            <v>CIBAO NORTE</v>
          </cell>
          <cell r="C4" t="str">
            <v>Puerto Plata</v>
          </cell>
          <cell r="E4" t="str">
            <v>Santiago</v>
          </cell>
          <cell r="F4" t="str">
            <v>Sabana Iglesia</v>
          </cell>
          <cell r="I4" t="str">
            <v>Arenoso</v>
          </cell>
          <cell r="J4" t="str">
            <v>El Aguacate</v>
          </cell>
        </row>
        <row r="5">
          <cell r="A5" t="str">
            <v>CIBAO NORDESTE</v>
          </cell>
          <cell r="B5" t="str">
            <v>CIBAO NORTE</v>
          </cell>
          <cell r="C5" t="str">
            <v>Espaillat</v>
          </cell>
          <cell r="E5" t="str">
            <v>Santiago</v>
          </cell>
          <cell r="F5" t="str">
            <v>Villa Bisonó (Navarrete)</v>
          </cell>
          <cell r="I5" t="str">
            <v>Arenoso</v>
          </cell>
          <cell r="J5" t="str">
            <v>Las Coles</v>
          </cell>
        </row>
        <row r="6">
          <cell r="A6" t="str">
            <v>CIBAO NOROESTE</v>
          </cell>
          <cell r="B6" t="str">
            <v>CIBAO SUR</v>
          </cell>
          <cell r="C6" t="str">
            <v>Concepción de La Vega</v>
          </cell>
          <cell r="E6" t="str">
            <v>Santiago</v>
          </cell>
          <cell r="F6" t="str">
            <v>Jánico</v>
          </cell>
          <cell r="I6" t="str">
            <v>Castillo</v>
          </cell>
          <cell r="J6" t="str">
            <v>Castillo</v>
          </cell>
        </row>
        <row r="7">
          <cell r="A7" t="str">
            <v>VALDESIA</v>
          </cell>
          <cell r="B7" t="str">
            <v>CIBAO SUR</v>
          </cell>
          <cell r="C7" t="str">
            <v>Monseñor Nouel</v>
          </cell>
          <cell r="E7" t="str">
            <v>Santiago</v>
          </cell>
          <cell r="F7" t="str">
            <v>Licey al Medio</v>
          </cell>
          <cell r="I7" t="str">
            <v>Hostos</v>
          </cell>
          <cell r="J7" t="str">
            <v>Hostos</v>
          </cell>
        </row>
        <row r="8">
          <cell r="A8" t="str">
            <v>ENRIQUILLO</v>
          </cell>
          <cell r="B8" t="str">
            <v>CIBAO SUR</v>
          </cell>
          <cell r="C8" t="str">
            <v>Sánchez Ramírez</v>
          </cell>
          <cell r="E8" t="str">
            <v>Santiago</v>
          </cell>
          <cell r="F8" t="str">
            <v>San José de las Matas</v>
          </cell>
          <cell r="I8" t="str">
            <v>Hostos</v>
          </cell>
          <cell r="J8" t="str">
            <v>Sabana Grande de Hostos</v>
          </cell>
        </row>
        <row r="9">
          <cell r="A9" t="str">
            <v>EL VALLE</v>
          </cell>
          <cell r="B9" t="str">
            <v>CIBAO NORDESTE</v>
          </cell>
          <cell r="C9" t="str">
            <v>Duarte</v>
          </cell>
          <cell r="E9" t="str">
            <v>Santiago</v>
          </cell>
          <cell r="F9" t="str">
            <v>Tamboril</v>
          </cell>
          <cell r="I9" t="str">
            <v>Las Guáranas</v>
          </cell>
          <cell r="J9" t="str">
            <v>Las Guáranas</v>
          </cell>
        </row>
        <row r="10">
          <cell r="A10" t="str">
            <v>YUMA</v>
          </cell>
          <cell r="B10" t="str">
            <v>CIBAO NORDESTE</v>
          </cell>
          <cell r="C10" t="str">
            <v>Hermanas Mirabal</v>
          </cell>
          <cell r="E10" t="str">
            <v>Santiago</v>
          </cell>
          <cell r="F10" t="str">
            <v>Villa González</v>
          </cell>
          <cell r="I10" t="str">
            <v>Pimentel</v>
          </cell>
          <cell r="J10" t="str">
            <v>Pimentel</v>
          </cell>
        </row>
        <row r="11">
          <cell r="A11" t="str">
            <v>HIGUAMO</v>
          </cell>
          <cell r="B11" t="str">
            <v>CIBAO NORDESTE</v>
          </cell>
          <cell r="C11" t="str">
            <v>María Trinidad Sánchez</v>
          </cell>
          <cell r="E11" t="str">
            <v>Santiago</v>
          </cell>
          <cell r="F11" t="str">
            <v>Puñal</v>
          </cell>
          <cell r="I11" t="str">
            <v>San Fco. de Macorís</v>
          </cell>
          <cell r="J11" t="str">
            <v>Cenoví</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row>
        <row r="13">
          <cell r="B13" t="str">
            <v>CIBAO NOROESTE</v>
          </cell>
          <cell r="C13" t="str">
            <v>Valverde</v>
          </cell>
          <cell r="E13" t="str">
            <v>Puerto Plata</v>
          </cell>
          <cell r="F13" t="str">
            <v>Altamira</v>
          </cell>
          <cell r="I13" t="str">
            <v>San Fco. de Macorís</v>
          </cell>
          <cell r="J13" t="str">
            <v>Jaya</v>
          </cell>
        </row>
        <row r="14">
          <cell r="B14" t="str">
            <v>CIBAO NOROESTE</v>
          </cell>
          <cell r="C14" t="str">
            <v>Santiago Rodriguez</v>
          </cell>
          <cell r="E14" t="str">
            <v>Puerto Plata</v>
          </cell>
          <cell r="F14" t="str">
            <v>Guananico</v>
          </cell>
          <cell r="I14" t="str">
            <v>San Fco. de Macorís</v>
          </cell>
          <cell r="J14" t="str">
            <v>La Peña</v>
          </cell>
        </row>
        <row r="15">
          <cell r="B15" t="str">
            <v>CIBAO NOROESTE</v>
          </cell>
          <cell r="C15" t="str">
            <v>Montecristi</v>
          </cell>
          <cell r="E15" t="str">
            <v>Puerto Plata</v>
          </cell>
          <cell r="F15" t="str">
            <v>Imbert</v>
          </cell>
          <cell r="I15" t="str">
            <v>San Fco. de Macorís</v>
          </cell>
          <cell r="J15" t="str">
            <v>San Fco. de Macorís</v>
          </cell>
        </row>
        <row r="16">
          <cell r="B16" t="str">
            <v>CIBAO NOROESTE</v>
          </cell>
          <cell r="C16" t="str">
            <v>Dajabón</v>
          </cell>
          <cell r="E16" t="str">
            <v>Puerto Plata</v>
          </cell>
          <cell r="F16" t="str">
            <v>Los Hidalgos</v>
          </cell>
          <cell r="I16" t="str">
            <v>Villa Riva</v>
          </cell>
          <cell r="J16" t="str">
            <v>Agua Santa del Yuna</v>
          </cell>
        </row>
        <row r="17">
          <cell r="B17" t="str">
            <v>VALDESIA</v>
          </cell>
          <cell r="C17" t="str">
            <v>San Cristóbal</v>
          </cell>
          <cell r="E17" t="str">
            <v>Puerto Plata</v>
          </cell>
          <cell r="F17" t="str">
            <v>Luperón</v>
          </cell>
          <cell r="I17" t="str">
            <v>Villa Riva</v>
          </cell>
          <cell r="J17" t="str">
            <v>Barraquito</v>
          </cell>
        </row>
        <row r="18">
          <cell r="B18" t="str">
            <v>VALDESIA</v>
          </cell>
          <cell r="C18" t="str">
            <v>Peravia</v>
          </cell>
          <cell r="E18" t="str">
            <v>Puerto Plata</v>
          </cell>
          <cell r="F18" t="str">
            <v>Sosúa</v>
          </cell>
          <cell r="I18" t="str">
            <v>Villa Riva</v>
          </cell>
          <cell r="J18" t="str">
            <v>Cristo Rey de Guaraguao</v>
          </cell>
        </row>
        <row r="19">
          <cell r="B19" t="str">
            <v>VALDESIA</v>
          </cell>
          <cell r="C19" t="str">
            <v>San José de Ocoa</v>
          </cell>
          <cell r="E19" t="str">
            <v>Puerto Plata</v>
          </cell>
          <cell r="F19" t="str">
            <v>Villa Isabela</v>
          </cell>
          <cell r="I19" t="str">
            <v>Villa Riva</v>
          </cell>
          <cell r="J19" t="str">
            <v>Las Táranas</v>
          </cell>
        </row>
        <row r="20">
          <cell r="B20" t="str">
            <v>VALDESIA</v>
          </cell>
          <cell r="C20" t="str">
            <v>Azua</v>
          </cell>
          <cell r="E20" t="str">
            <v>Puerto Plata</v>
          </cell>
          <cell r="F20" t="str">
            <v>Villa Montellano</v>
          </cell>
          <cell r="I20" t="str">
            <v>Villa Riva</v>
          </cell>
          <cell r="J20" t="str">
            <v>Villa Riva</v>
          </cell>
        </row>
        <row r="21">
          <cell r="B21" t="str">
            <v>ENRIQUILLO</v>
          </cell>
          <cell r="C21" t="str">
            <v>Barahona</v>
          </cell>
          <cell r="E21" t="str">
            <v>Espaillat</v>
          </cell>
          <cell r="F21" t="str">
            <v>Moca</v>
          </cell>
          <cell r="I21" t="str">
            <v>Salcedo</v>
          </cell>
          <cell r="J21" t="str">
            <v>Jamao Afuera</v>
          </cell>
        </row>
        <row r="22">
          <cell r="B22" t="str">
            <v>ENRIQUILLO</v>
          </cell>
          <cell r="C22" t="str">
            <v>Bahoruco</v>
          </cell>
          <cell r="E22" t="str">
            <v>Espaillat</v>
          </cell>
          <cell r="F22" t="str">
            <v>Cayetano Germosén</v>
          </cell>
          <cell r="I22" t="str">
            <v>Salcedo</v>
          </cell>
          <cell r="J22" t="str">
            <v>Salcedo</v>
          </cell>
        </row>
        <row r="23">
          <cell r="B23" t="str">
            <v>ENRIQUILLO</v>
          </cell>
          <cell r="C23" t="str">
            <v>Pedernales</v>
          </cell>
          <cell r="E23" t="str">
            <v>Espaillat</v>
          </cell>
          <cell r="F23" t="str">
            <v>Gaspar Hernández</v>
          </cell>
          <cell r="I23" t="str">
            <v>Tenares</v>
          </cell>
          <cell r="J23" t="str">
            <v>Blanco</v>
          </cell>
        </row>
        <row r="24">
          <cell r="B24" t="str">
            <v>ENRIQUILLO</v>
          </cell>
          <cell r="C24" t="str">
            <v>Independencia</v>
          </cell>
          <cell r="E24" t="str">
            <v>Espaillat</v>
          </cell>
          <cell r="F24" t="str">
            <v>Jamao al Norte</v>
          </cell>
          <cell r="I24" t="str">
            <v>Tenares</v>
          </cell>
          <cell r="J24" t="str">
            <v>Tenares</v>
          </cell>
        </row>
        <row r="25">
          <cell r="B25" t="str">
            <v>EL VALLE</v>
          </cell>
          <cell r="C25" t="str">
            <v>San Juan</v>
          </cell>
          <cell r="E25" t="str">
            <v>Concepción de La Vega</v>
          </cell>
          <cell r="F25" t="str">
            <v>La Vega</v>
          </cell>
          <cell r="I25" t="str">
            <v>Villa Tapia</v>
          </cell>
          <cell r="J25" t="str">
            <v>Villa Tapia</v>
          </cell>
        </row>
        <row r="26">
          <cell r="B26" t="str">
            <v>EL VALLE</v>
          </cell>
          <cell r="C26" t="str">
            <v>Elías Piña</v>
          </cell>
          <cell r="E26" t="str">
            <v>Concepción de La Vega</v>
          </cell>
          <cell r="F26" t="str">
            <v>Constanza</v>
          </cell>
          <cell r="I26" t="str">
            <v>Cabrera</v>
          </cell>
          <cell r="J26" t="str">
            <v>Arroyo Salado</v>
          </cell>
        </row>
        <row r="27">
          <cell r="B27" t="str">
            <v>YUMA</v>
          </cell>
          <cell r="C27" t="str">
            <v>La Romana</v>
          </cell>
          <cell r="E27" t="str">
            <v>Concepción de La Vega</v>
          </cell>
          <cell r="F27" t="str">
            <v>Jarabacoa</v>
          </cell>
          <cell r="I27" t="str">
            <v>Cabrera</v>
          </cell>
          <cell r="J27" t="str">
            <v>Cabrera</v>
          </cell>
        </row>
        <row r="28">
          <cell r="B28" t="str">
            <v>YUMA</v>
          </cell>
          <cell r="C28" t="str">
            <v>La Altagracia</v>
          </cell>
          <cell r="E28" t="str">
            <v>Concepción de La Vega</v>
          </cell>
          <cell r="F28" t="str">
            <v>Jima Abajo</v>
          </cell>
          <cell r="I28" t="str">
            <v>Cabrera</v>
          </cell>
          <cell r="J28" t="str">
            <v>La Entrada</v>
          </cell>
        </row>
        <row r="29">
          <cell r="B29" t="str">
            <v>YUMA</v>
          </cell>
          <cell r="C29" t="str">
            <v>El Seibo</v>
          </cell>
          <cell r="E29" t="str">
            <v>Monseñor Nouel</v>
          </cell>
          <cell r="F29" t="str">
            <v>Bonao</v>
          </cell>
          <cell r="I29" t="str">
            <v>El Factor</v>
          </cell>
          <cell r="J29" t="str">
            <v>El Factor</v>
          </cell>
        </row>
        <row r="30">
          <cell r="B30" t="str">
            <v>HIGUAMO</v>
          </cell>
          <cell r="C30" t="str">
            <v>San Pedro de Macorís</v>
          </cell>
          <cell r="E30" t="str">
            <v>Monseñor Nouel</v>
          </cell>
          <cell r="F30" t="str">
            <v>Maimón</v>
          </cell>
          <cell r="I30" t="str">
            <v>El Factor</v>
          </cell>
          <cell r="J30" t="str">
            <v>El Pozo</v>
          </cell>
        </row>
        <row r="31">
          <cell r="B31" t="str">
            <v>HIGUAMO</v>
          </cell>
          <cell r="C31" t="str">
            <v>Hato Mayor</v>
          </cell>
          <cell r="E31" t="str">
            <v>Monseñor Nouel</v>
          </cell>
          <cell r="F31" t="str">
            <v>Piedra Blanca</v>
          </cell>
          <cell r="I31" t="str">
            <v>Nagua</v>
          </cell>
          <cell r="J31" t="str">
            <v>Arroyo al Medio</v>
          </cell>
        </row>
        <row r="32">
          <cell r="B32" t="str">
            <v>HIGUAMO</v>
          </cell>
          <cell r="C32" t="str">
            <v>Monte Plata</v>
          </cell>
          <cell r="E32" t="str">
            <v>Sánchez Ramírez</v>
          </cell>
          <cell r="F32" t="str">
            <v>Cotuí</v>
          </cell>
          <cell r="I32" t="str">
            <v>Nagua</v>
          </cell>
          <cell r="J32" t="str">
            <v>Las Gordas</v>
          </cell>
        </row>
        <row r="33">
          <cell r="B33" t="str">
            <v>OZAMA O METROPOLITANA</v>
          </cell>
          <cell r="C33" t="str">
            <v>Distrito Nacional</v>
          </cell>
          <cell r="E33" t="str">
            <v>Sánchez Ramírez</v>
          </cell>
          <cell r="F33" t="str">
            <v>Cevicos</v>
          </cell>
          <cell r="I33" t="str">
            <v>Nagua</v>
          </cell>
          <cell r="J33" t="str">
            <v>Nagua</v>
          </cell>
        </row>
        <row r="34">
          <cell r="B34" t="str">
            <v>OZAMA O METROPOLITANA</v>
          </cell>
          <cell r="C34" t="str">
            <v>Santo Domingo</v>
          </cell>
          <cell r="E34" t="str">
            <v>Sánchez Ramírez</v>
          </cell>
          <cell r="F34" t="str">
            <v>Fantino</v>
          </cell>
          <cell r="I34" t="str">
            <v>Nagua</v>
          </cell>
          <cell r="J34" t="str">
            <v>San José de Matanzas</v>
          </cell>
        </row>
        <row r="35">
          <cell r="E35" t="str">
            <v>Sánchez Ramírez</v>
          </cell>
          <cell r="F35" t="str">
            <v>La Mata</v>
          </cell>
          <cell r="I35" t="str">
            <v>Río San Juan</v>
          </cell>
          <cell r="J35" t="str">
            <v>Río San Juan</v>
          </cell>
        </row>
        <row r="36">
          <cell r="E36" t="str">
            <v>Duarte</v>
          </cell>
          <cell r="F36" t="str">
            <v>San Fco. de Macorís</v>
          </cell>
          <cell r="I36" t="str">
            <v>Las Terrenas</v>
          </cell>
          <cell r="J36" t="str">
            <v>Las Terrenas</v>
          </cell>
        </row>
        <row r="37">
          <cell r="E37" t="str">
            <v>Duarte</v>
          </cell>
          <cell r="F37" t="str">
            <v>Arenoso</v>
          </cell>
          <cell r="I37" t="str">
            <v>Sánchez</v>
          </cell>
          <cell r="J37" t="str">
            <v>Sánchez</v>
          </cell>
        </row>
        <row r="38">
          <cell r="E38" t="str">
            <v>Duarte</v>
          </cell>
          <cell r="F38" t="str">
            <v>Castillo</v>
          </cell>
          <cell r="I38" t="str">
            <v>Santa Bárbara de Samaná</v>
          </cell>
          <cell r="J38" t="str">
            <v>Arroyo Barril</v>
          </cell>
        </row>
        <row r="39">
          <cell r="E39" t="str">
            <v>Duarte</v>
          </cell>
          <cell r="F39" t="str">
            <v>Hostos</v>
          </cell>
          <cell r="I39" t="str">
            <v>Santa Bárbara de Samaná</v>
          </cell>
          <cell r="J39" t="str">
            <v>El Limón</v>
          </cell>
        </row>
        <row r="40">
          <cell r="E40" t="str">
            <v>Duarte</v>
          </cell>
          <cell r="F40" t="str">
            <v>Pimentel</v>
          </cell>
          <cell r="I40" t="str">
            <v>Santa Bárbara de Samaná</v>
          </cell>
          <cell r="J40" t="str">
            <v>Las Galeras</v>
          </cell>
        </row>
        <row r="41">
          <cell r="E41" t="str">
            <v>Duarte</v>
          </cell>
          <cell r="F41" t="str">
            <v>Villa Riva</v>
          </cell>
          <cell r="I41" t="str">
            <v>Santa Bárbara de Samaná</v>
          </cell>
          <cell r="J41" t="str">
            <v>Santa Bárbara de Samaná</v>
          </cell>
        </row>
        <row r="42">
          <cell r="E42" t="str">
            <v>Duarte</v>
          </cell>
          <cell r="F42" t="str">
            <v>Las Guáranas</v>
          </cell>
          <cell r="I42" t="str">
            <v>Dajabón</v>
          </cell>
          <cell r="J42" t="str">
            <v>Cañongo</v>
          </cell>
        </row>
        <row r="43">
          <cell r="E43" t="str">
            <v>Hermanas Mirabal</v>
          </cell>
          <cell r="F43" t="str">
            <v>Salcedo</v>
          </cell>
          <cell r="I43" t="str">
            <v>Dajabón</v>
          </cell>
          <cell r="J43" t="str">
            <v>Dajabón</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efreshError="1">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E3" t="str">
            <v>Santiago</v>
          </cell>
          <cell r="P3" t="str">
            <v>CAJ</v>
          </cell>
          <cell r="Q3" t="str">
            <v>Caja</v>
          </cell>
        </row>
        <row r="4">
          <cell r="P4" t="str">
            <v>CM</v>
          </cell>
          <cell r="Q4" t="str">
            <v>Centímetro</v>
          </cell>
        </row>
        <row r="5">
          <cell r="P5" t="str">
            <v>CM2</v>
          </cell>
          <cell r="Q5" t="str">
            <v>Centímetro Cuadrado</v>
          </cell>
        </row>
        <row r="6">
          <cell r="P6" t="str">
            <v>CT</v>
          </cell>
          <cell r="Q6" t="str">
            <v>Ciento</v>
          </cell>
        </row>
        <row r="7">
          <cell r="P7" t="str">
            <v>DEC</v>
          </cell>
          <cell r="Q7" t="str">
            <v>Decena</v>
          </cell>
        </row>
        <row r="8">
          <cell r="P8" t="str">
            <v>DM</v>
          </cell>
          <cell r="Q8" t="str">
            <v>Decímetro</v>
          </cell>
        </row>
        <row r="9">
          <cell r="P9" t="str">
            <v>DÍA</v>
          </cell>
          <cell r="Q9" t="str">
            <v>Día</v>
          </cell>
        </row>
        <row r="10">
          <cell r="P10" t="str">
            <v>DOC</v>
          </cell>
          <cell r="Q10" t="str">
            <v>Docena</v>
          </cell>
        </row>
        <row r="11">
          <cell r="P11" t="str">
            <v>GAL</v>
          </cell>
          <cell r="Q11" t="str">
            <v>Galón</v>
          </cell>
        </row>
        <row r="12">
          <cell r="P12" t="str">
            <v>G</v>
          </cell>
          <cell r="Q12" t="str">
            <v>Gramo</v>
          </cell>
        </row>
        <row r="13">
          <cell r="P13" t="str">
            <v>H</v>
          </cell>
          <cell r="Q13" t="str">
            <v>Hora</v>
          </cell>
        </row>
        <row r="14">
          <cell r="P14" t="str">
            <v>H/H</v>
          </cell>
          <cell r="Q14" t="str">
            <v>Hora Hombre</v>
          </cell>
        </row>
        <row r="15">
          <cell r="P15" t="str">
            <v>KG</v>
          </cell>
          <cell r="Q15" t="str">
            <v>Kilogramo</v>
          </cell>
        </row>
        <row r="16">
          <cell r="P16" t="str">
            <v>KM</v>
          </cell>
          <cell r="Q16" t="str">
            <v>Kilómetro</v>
          </cell>
        </row>
        <row r="17">
          <cell r="P17" t="str">
            <v>KM2</v>
          </cell>
          <cell r="Q17" t="str">
            <v>Kilómetro cuadrado</v>
          </cell>
        </row>
        <row r="18">
          <cell r="P18" t="str">
            <v>LB</v>
          </cell>
          <cell r="Q18" t="str">
            <v>Libra </v>
          </cell>
        </row>
        <row r="19">
          <cell r="P19" t="str">
            <v>L</v>
          </cell>
          <cell r="Q19" t="str">
            <v>Litro</v>
          </cell>
        </row>
        <row r="20">
          <cell r="P20" t="str">
            <v>MES</v>
          </cell>
          <cell r="Q20" t="str">
            <v>Mes</v>
          </cell>
        </row>
        <row r="21">
          <cell r="P21" t="str">
            <v>M</v>
          </cell>
          <cell r="Q21" t="str">
            <v>Metro</v>
          </cell>
        </row>
        <row r="22">
          <cell r="P22" t="str">
            <v>M2</v>
          </cell>
          <cell r="Q22" t="str">
            <v>Metro cuadrado</v>
          </cell>
        </row>
        <row r="23">
          <cell r="P23" t="str">
            <v>M3</v>
          </cell>
          <cell r="Q23" t="str">
            <v>Metro cúbico</v>
          </cell>
        </row>
        <row r="24">
          <cell r="P24" t="str">
            <v>MG</v>
          </cell>
          <cell r="Q24" t="str">
            <v>Miligramo</v>
          </cell>
        </row>
        <row r="25">
          <cell r="P25" t="str">
            <v>MM</v>
          </cell>
          <cell r="Q25" t="str">
            <v>Milímetro</v>
          </cell>
        </row>
        <row r="26">
          <cell r="P26" t="str">
            <v>MI</v>
          </cell>
          <cell r="Q26" t="str">
            <v>Milla</v>
          </cell>
        </row>
        <row r="27">
          <cell r="P27" t="str">
            <v>MIL</v>
          </cell>
          <cell r="Q27" t="str">
            <v>Millar</v>
          </cell>
        </row>
        <row r="28">
          <cell r="P28" t="str">
            <v>OZ</v>
          </cell>
          <cell r="Q28" t="str">
            <v>Onza</v>
          </cell>
        </row>
        <row r="29">
          <cell r="P29" t="str">
            <v>PAQ</v>
          </cell>
          <cell r="Q29" t="str">
            <v>Paquete</v>
          </cell>
        </row>
        <row r="30">
          <cell r="P30" t="str">
            <v>FT</v>
          </cell>
          <cell r="Q30" t="str">
            <v>Pie</v>
          </cell>
        </row>
        <row r="31">
          <cell r="P31" t="str">
            <v>FT2</v>
          </cell>
          <cell r="Q31" t="str">
            <v>Pie cuadrado</v>
          </cell>
        </row>
        <row r="32">
          <cell r="P32" t="str">
            <v>FT3</v>
          </cell>
          <cell r="Q32" t="str">
            <v>Pie cúbico</v>
          </cell>
        </row>
        <row r="33">
          <cell r="P33" t="str">
            <v>IN</v>
          </cell>
          <cell r="Q33" t="str">
            <v>Pulgada</v>
          </cell>
        </row>
        <row r="34">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row r="44">
          <cell r="P44"/>
          <cell r="Q44"/>
        </row>
        <row r="45">
          <cell r="P45"/>
          <cell r="Q45"/>
        </row>
        <row r="46">
          <cell r="P46"/>
          <cell r="Q46"/>
        </row>
        <row r="47">
          <cell r="P47"/>
          <cell r="Q47"/>
        </row>
        <row r="48">
          <cell r="P48"/>
          <cell r="Q48"/>
        </row>
        <row r="49">
          <cell r="P49"/>
          <cell r="Q49"/>
        </row>
        <row r="50">
          <cell r="P50"/>
          <cell r="Q50"/>
        </row>
        <row r="51">
          <cell r="P51"/>
          <cell r="Q51"/>
        </row>
        <row r="52">
          <cell r="P52"/>
          <cell r="Q52"/>
        </row>
        <row r="53">
          <cell r="P53"/>
          <cell r="Q53"/>
        </row>
        <row r="54">
          <cell r="P54"/>
          <cell r="Q54"/>
        </row>
        <row r="55">
          <cell r="P55"/>
          <cell r="Q55"/>
        </row>
        <row r="56">
          <cell r="P56"/>
          <cell r="Q56"/>
        </row>
        <row r="57">
          <cell r="P57"/>
          <cell r="Q57"/>
        </row>
        <row r="58">
          <cell r="P58"/>
          <cell r="Q58"/>
        </row>
        <row r="59">
          <cell r="P59"/>
          <cell r="Q59"/>
        </row>
        <row r="60">
          <cell r="P60"/>
          <cell r="Q60"/>
        </row>
        <row r="61">
          <cell r="P61"/>
          <cell r="Q61"/>
        </row>
        <row r="62">
          <cell r="P62"/>
          <cell r="Q62"/>
        </row>
        <row r="63">
          <cell r="P63"/>
          <cell r="Q63"/>
        </row>
        <row r="64">
          <cell r="P64"/>
          <cell r="Q64"/>
        </row>
        <row r="65">
          <cell r="P65"/>
          <cell r="Q65"/>
        </row>
        <row r="66">
          <cell r="P66"/>
          <cell r="Q66"/>
        </row>
        <row r="67">
          <cell r="P67"/>
          <cell r="Q67"/>
        </row>
        <row r="68">
          <cell r="P68"/>
          <cell r="Q68"/>
        </row>
        <row r="69">
          <cell r="P69"/>
          <cell r="Q69"/>
        </row>
        <row r="70">
          <cell r="P70"/>
          <cell r="Q70"/>
        </row>
        <row r="71">
          <cell r="P71"/>
          <cell r="Q71"/>
        </row>
        <row r="72">
          <cell r="P72"/>
          <cell r="Q72"/>
        </row>
        <row r="73">
          <cell r="P73"/>
          <cell r="Q73"/>
        </row>
        <row r="74">
          <cell r="P74"/>
          <cell r="Q74"/>
        </row>
        <row r="75">
          <cell r="P75"/>
          <cell r="Q75"/>
        </row>
        <row r="76">
          <cell r="P76"/>
          <cell r="Q76"/>
        </row>
        <row r="77">
          <cell r="P77"/>
          <cell r="Q77"/>
        </row>
        <row r="78">
          <cell r="P78"/>
          <cell r="Q78"/>
        </row>
        <row r="79">
          <cell r="P79"/>
          <cell r="Q79"/>
        </row>
        <row r="80">
          <cell r="P80"/>
          <cell r="Q80"/>
        </row>
        <row r="81">
          <cell r="P81"/>
          <cell r="Q81"/>
        </row>
        <row r="82">
          <cell r="P82"/>
          <cell r="Q82"/>
        </row>
        <row r="83">
          <cell r="P83"/>
          <cell r="Q83"/>
        </row>
        <row r="84">
          <cell r="P84"/>
          <cell r="Q84"/>
        </row>
        <row r="85">
          <cell r="P85"/>
          <cell r="Q85"/>
        </row>
        <row r="86">
          <cell r="P86"/>
          <cell r="Q86"/>
        </row>
        <row r="87">
          <cell r="P87"/>
          <cell r="Q87"/>
        </row>
        <row r="88">
          <cell r="P88"/>
          <cell r="Q88"/>
        </row>
        <row r="89">
          <cell r="P89"/>
          <cell r="Q89"/>
        </row>
        <row r="90">
          <cell r="P90"/>
          <cell r="Q90"/>
        </row>
        <row r="91">
          <cell r="P91"/>
          <cell r="Q91"/>
        </row>
        <row r="92">
          <cell r="P92"/>
          <cell r="Q92"/>
        </row>
        <row r="93">
          <cell r="P93"/>
          <cell r="Q93"/>
        </row>
        <row r="94">
          <cell r="P94"/>
          <cell r="Q94"/>
        </row>
        <row r="95">
          <cell r="P95"/>
          <cell r="Q95"/>
        </row>
        <row r="96">
          <cell r="P96"/>
          <cell r="Q96"/>
        </row>
        <row r="97">
          <cell r="P97"/>
          <cell r="Q97"/>
        </row>
        <row r="98">
          <cell r="P98"/>
          <cell r="Q98"/>
        </row>
        <row r="99">
          <cell r="P99"/>
          <cell r="Q99"/>
        </row>
        <row r="100">
          <cell r="P100"/>
          <cell r="Q100"/>
        </row>
        <row r="101">
          <cell r="P101"/>
          <cell r="Q101"/>
        </row>
        <row r="102">
          <cell r="P102"/>
          <cell r="Q102"/>
        </row>
        <row r="103">
          <cell r="P103"/>
          <cell r="Q103"/>
        </row>
        <row r="104">
          <cell r="P104"/>
          <cell r="Q104"/>
        </row>
        <row r="105">
          <cell r="P105"/>
          <cell r="Q105"/>
        </row>
        <row r="106">
          <cell r="P106"/>
          <cell r="Q106"/>
        </row>
        <row r="107">
          <cell r="P107"/>
          <cell r="Q107"/>
        </row>
        <row r="108">
          <cell r="P108"/>
          <cell r="Q108"/>
        </row>
        <row r="109">
          <cell r="P109"/>
          <cell r="Q109"/>
        </row>
        <row r="110">
          <cell r="P110"/>
          <cell r="Q110"/>
        </row>
        <row r="111">
          <cell r="P111"/>
          <cell r="Q111"/>
        </row>
        <row r="112">
          <cell r="P112"/>
          <cell r="Q112"/>
        </row>
        <row r="113">
          <cell r="P113"/>
          <cell r="Q113"/>
        </row>
        <row r="114">
          <cell r="P114"/>
          <cell r="Q114"/>
        </row>
        <row r="115">
          <cell r="P115"/>
          <cell r="Q115"/>
        </row>
        <row r="116">
          <cell r="P116"/>
          <cell r="Q116"/>
        </row>
        <row r="117">
          <cell r="P117"/>
          <cell r="Q117"/>
        </row>
        <row r="118">
          <cell r="P118"/>
          <cell r="Q118"/>
        </row>
        <row r="119">
          <cell r="P119"/>
          <cell r="Q119"/>
        </row>
        <row r="120">
          <cell r="P120"/>
          <cell r="Q120"/>
        </row>
        <row r="121">
          <cell r="P121"/>
          <cell r="Q121"/>
        </row>
        <row r="122">
          <cell r="P122"/>
          <cell r="Q122"/>
        </row>
        <row r="123">
          <cell r="P123"/>
          <cell r="Q123"/>
        </row>
        <row r="124">
          <cell r="P124"/>
          <cell r="Q124"/>
        </row>
        <row r="125">
          <cell r="P125"/>
          <cell r="Q125"/>
        </row>
        <row r="126">
          <cell r="P126"/>
          <cell r="Q126"/>
        </row>
        <row r="127">
          <cell r="P127"/>
          <cell r="Q127"/>
        </row>
        <row r="128">
          <cell r="P128"/>
          <cell r="Q128"/>
        </row>
        <row r="129">
          <cell r="P129"/>
          <cell r="Q129"/>
        </row>
        <row r="130">
          <cell r="P130"/>
          <cell r="Q130"/>
        </row>
        <row r="131">
          <cell r="P131"/>
          <cell r="Q131"/>
        </row>
        <row r="132">
          <cell r="P132"/>
          <cell r="Q132"/>
        </row>
        <row r="133">
          <cell r="P133"/>
          <cell r="Q133"/>
        </row>
        <row r="134">
          <cell r="P134"/>
          <cell r="Q134"/>
        </row>
        <row r="135">
          <cell r="P135"/>
          <cell r="Q135"/>
        </row>
        <row r="136">
          <cell r="P136"/>
          <cell r="Q136"/>
        </row>
        <row r="137">
          <cell r="P137"/>
          <cell r="Q137"/>
        </row>
        <row r="138">
          <cell r="P138"/>
          <cell r="Q138"/>
        </row>
        <row r="139">
          <cell r="P139"/>
          <cell r="Q139"/>
        </row>
        <row r="140">
          <cell r="P140"/>
          <cell r="Q140"/>
        </row>
        <row r="141">
          <cell r="P141"/>
          <cell r="Q141"/>
        </row>
        <row r="142">
          <cell r="P142"/>
          <cell r="Q142"/>
        </row>
        <row r="143">
          <cell r="P143"/>
          <cell r="Q143"/>
        </row>
        <row r="144">
          <cell r="P144"/>
          <cell r="Q144"/>
        </row>
        <row r="145">
          <cell r="P145"/>
          <cell r="Q145"/>
        </row>
        <row r="146">
          <cell r="P146"/>
          <cell r="Q146"/>
        </row>
        <row r="147">
          <cell r="P147"/>
          <cell r="Q147"/>
        </row>
        <row r="148">
          <cell r="P148"/>
          <cell r="Q148"/>
        </row>
        <row r="149">
          <cell r="P149"/>
          <cell r="Q149"/>
        </row>
        <row r="150">
          <cell r="P150"/>
          <cell r="Q150"/>
        </row>
        <row r="151">
          <cell r="P151"/>
          <cell r="Q151"/>
        </row>
        <row r="152">
          <cell r="P152"/>
          <cell r="Q152"/>
        </row>
        <row r="153">
          <cell r="P153"/>
          <cell r="Q153"/>
        </row>
        <row r="154">
          <cell r="P154"/>
          <cell r="Q154"/>
        </row>
        <row r="155">
          <cell r="P155"/>
          <cell r="Q155"/>
        </row>
        <row r="156">
          <cell r="P156"/>
          <cell r="Q156"/>
        </row>
        <row r="157">
          <cell r="P157"/>
          <cell r="Q157"/>
        </row>
        <row r="158">
          <cell r="P158"/>
          <cell r="Q158"/>
        </row>
        <row r="159">
          <cell r="P159"/>
          <cell r="Q159"/>
        </row>
        <row r="160">
          <cell r="P160"/>
          <cell r="Q160"/>
        </row>
        <row r="161">
          <cell r="P161"/>
          <cell r="Q161"/>
        </row>
        <row r="162">
          <cell r="P162"/>
          <cell r="Q162"/>
        </row>
        <row r="163">
          <cell r="P163"/>
          <cell r="Q163"/>
        </row>
        <row r="164">
          <cell r="P164"/>
          <cell r="Q164"/>
        </row>
        <row r="165">
          <cell r="P165"/>
          <cell r="Q165"/>
        </row>
        <row r="166">
          <cell r="P166"/>
          <cell r="Q166"/>
        </row>
        <row r="167">
          <cell r="P167"/>
          <cell r="Q167"/>
        </row>
        <row r="168">
          <cell r="P168"/>
          <cell r="Q168"/>
        </row>
        <row r="169">
          <cell r="P169"/>
          <cell r="Q169"/>
        </row>
        <row r="170">
          <cell r="P170"/>
          <cell r="Q170"/>
        </row>
        <row r="171">
          <cell r="P171"/>
          <cell r="Q171"/>
        </row>
        <row r="172">
          <cell r="P172"/>
          <cell r="Q172"/>
        </row>
        <row r="173">
          <cell r="P173"/>
          <cell r="Q173"/>
        </row>
        <row r="174">
          <cell r="P174"/>
          <cell r="Q174"/>
        </row>
        <row r="175">
          <cell r="P175"/>
          <cell r="Q175"/>
        </row>
        <row r="176">
          <cell r="P176"/>
          <cell r="Q176"/>
        </row>
        <row r="177">
          <cell r="P177"/>
          <cell r="Q177"/>
        </row>
        <row r="178">
          <cell r="P178"/>
          <cell r="Q178"/>
        </row>
        <row r="179">
          <cell r="P179"/>
          <cell r="Q179"/>
        </row>
        <row r="180">
          <cell r="P180"/>
          <cell r="Q180"/>
        </row>
        <row r="181">
          <cell r="P181"/>
          <cell r="Q181"/>
        </row>
        <row r="182">
          <cell r="P182"/>
          <cell r="Q182"/>
        </row>
        <row r="183">
          <cell r="P183"/>
          <cell r="Q183"/>
        </row>
        <row r="184">
          <cell r="P184"/>
          <cell r="Q184"/>
        </row>
        <row r="185">
          <cell r="P185"/>
          <cell r="Q185"/>
        </row>
        <row r="186">
          <cell r="P186"/>
          <cell r="Q186"/>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31D8A4-AF0B-4B83-A35D-9F32DB0B46EE}" name="Table433" displayName="Table433" ref="A21:F26" totalsRowShown="0" headerRowDxfId="478" dataDxfId="477">
  <tableColumns count="6">
    <tableColumn id="1" xr3:uid="{63EF68E9-2B30-4435-968E-08D53B86567D}" name="CÓDIGO CATÁLOGO" dataDxfId="476"/>
    <tableColumn id="2" xr3:uid="{6205B88B-38A2-4442-8C06-E3B7504CF187}" name="ARTÍCULO" dataDxfId="475">
      <calculatedColumnFormula>IFERROR(INDEX(UNSPSCDes,MATCH(INDIRECT(ADDRESS(ROW(),COLUMN()-1,4)),UNSPSCCode,0)),IF(INDIRECT(ADDRESS(ROW(),COLUMN()-1,4))="72101511","Servicio de instalación o mantenimiento o reparación de aires acondicionados",""))</calculatedColumnFormula>
    </tableColumn>
    <tableColumn id="7" xr3:uid="{0A4B923F-513A-4C7F-A61D-96040BEBF831}" name="UNIDAD DE MEDIDA" dataDxfId="474"/>
    <tableColumn id="4" xr3:uid="{7A0DD472-2603-45C5-A474-48DE188BBB61}" name="CANTIDAD TOTAL ESTIMADA" dataDxfId="473"/>
    <tableColumn id="5" xr3:uid="{BAC1D412-7482-4FFD-96E7-C3524C178AF4}" name="PRECIO UNITARIO ESTIMADO" dataDxfId="472"/>
    <tableColumn id="6" xr3:uid="{A2B6A0D7-339A-4783-A743-9D89152D7320}" name="MONTO TOTAL ESTIMADO" dataDxfId="471">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65EC184-1557-41AA-8772-A3ABBA879618}" name="Table431166" displayName="Table431166" ref="A153:F155" totalsRowShown="0" headerRowDxfId="398" dataDxfId="397">
  <tableColumns count="6">
    <tableColumn id="1" xr3:uid="{F9FD491B-0D31-4D8B-AEDA-FC950A532687}" name="CÓDIGO CATÁLOGO" dataDxfId="396"/>
    <tableColumn id="2" xr3:uid="{8342FF44-848E-44E8-A692-2B5EBECEA72A}" name="ARTÍCULO" dataDxfId="395"/>
    <tableColumn id="7" xr3:uid="{22C7C5BC-0E4A-42FF-BD73-6403987D2484}" name="UNIDAD DE MEDIDA" dataDxfId="394"/>
    <tableColumn id="4" xr3:uid="{FB64548E-BA6D-4DDA-BF7E-69607F7F8F64}" name="CANTIDAD TOTAL ESTIMADA" dataDxfId="393" dataCellStyle="Énfasis2"/>
    <tableColumn id="5" xr3:uid="{71C41120-794B-4C25-B315-E87DA01A8948}" name="PRECIO UNITARIO ESTIMADO" dataDxfId="392"/>
    <tableColumn id="6" xr3:uid="{B343F14D-74BC-44D4-A173-B6DA23CAC21D}" name="MONTO TOTAL ESTIMADO" dataDxfId="391">
      <calculatedColumnFormula>+Table431166[[#This Row],[PRECIO UNITARIO ESTIMADO]]*Table431166[[#This Row],[CANTIDAD TOTAL ESTIMADA]]</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72D2CB2-49EC-41F1-8014-68BAC31912BD}" name="Table4341267" displayName="Table4341267" ref="A165:F167" totalsRowShown="0" headerRowDxfId="390" dataDxfId="389">
  <tableColumns count="6">
    <tableColumn id="1" xr3:uid="{476E5A94-E809-4143-A375-F47E958C0671}" name="CÓDIGO CATÁLOGO" dataDxfId="388"/>
    <tableColumn id="2" xr3:uid="{3C5003F7-7A1C-4D9F-B1CE-BF5971120AFB}" name="ARTÍCULO" dataDxfId="387"/>
    <tableColumn id="7" xr3:uid="{8274F5AF-D35C-4E5B-861D-E6732972A4FC}" name="UNIDAD DE MEDIDA" dataDxfId="386"/>
    <tableColumn id="4" xr3:uid="{6BD4BE38-C6ED-4B2B-A319-E1DFB51A09AB}" name="CANTIDAD TOTAL ESTIMADA" dataDxfId="385" dataCellStyle="Énfasis2"/>
    <tableColumn id="5" xr3:uid="{4D5E2FA6-B0B1-4FDC-A4A9-D714C47675D0}" name="PRECIO UNITARIO ESTIMADO" dataDxfId="384"/>
    <tableColumn id="6" xr3:uid="{834A1C90-BD77-4F85-A436-E83E5CA8052A}" name="MONTO TOTAL ESTIMADO" dataDxfId="383">
      <calculatedColumnFormula>+Table4341267[[#This Row],[PRECIO UNITARIO ESTIMADO]]*Table4341267[[#This Row],[CANTIDAD TOTAL ESTIMADA]]</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33FEB39-E6C0-4FF6-A35C-1101A3A5CE46}" name="Table43451368" displayName="Table43451368" ref="A178:F180" totalsRowShown="0" headerRowDxfId="382" dataDxfId="381">
  <tableColumns count="6">
    <tableColumn id="1" xr3:uid="{0BD03D37-E041-498C-A92B-71B0314D67F9}" name="CÓDIGO CATÁLOGO" dataDxfId="380"/>
    <tableColumn id="2" xr3:uid="{35A5E4D9-E225-4679-9507-331FF0E6CD03}" name="ARTÍCULO" dataDxfId="379"/>
    <tableColumn id="7" xr3:uid="{A0B06BC7-6087-4978-A4D2-C390392CB97A}" name="UNIDAD DE MEDIDA" dataDxfId="378"/>
    <tableColumn id="4" xr3:uid="{9DCE6B9F-D371-4DC1-8D97-FF9A8B7FFA44}" name="CANTIDAD TOTAL ESTIMADA" dataDxfId="377"/>
    <tableColumn id="5" xr3:uid="{CA1366BA-9AFE-4837-BB69-D0732FF04028}" name="PRECIO UNITARIO ESTIMADO" dataDxfId="376"/>
    <tableColumn id="6" xr3:uid="{0C11CECD-934B-4FB7-85A1-281611B1175A}" name="MONTO TOTAL ESTIMADO" dataDxfId="375">
      <calculatedColumnFormula>Table43451368[[#This Row],[CANTIDAD TOTAL ESTIMADA]]*Table43451368[[#This Row],[PRECIO UNITARIO ESTIMADO]]</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4B23671-C072-4A7A-99DB-42DEC5146454}" name="Table4101470" displayName="Table4101470" ref="A191:F194" totalsRowShown="0" headerRowDxfId="374" dataDxfId="373">
  <tableColumns count="6">
    <tableColumn id="1" xr3:uid="{5A7E0AD4-F354-4598-B5D5-543A9078CEEE}" name="CÓDIGO CATÁLOGO" dataDxfId="372"/>
    <tableColumn id="2" xr3:uid="{1D9E3ADA-5CA2-4829-8D45-67F1B90D1E86}" name="ARTÍCULO" dataDxfId="371"/>
    <tableColumn id="7" xr3:uid="{FEB1BF61-8EEE-4CB7-B9AC-86C72BF8FE61}" name="UNIDAD DE MEDIDA" dataDxfId="370"/>
    <tableColumn id="4" xr3:uid="{3F6ED357-70FC-4BDE-B615-0AE391731DB5}" name="CANTIDAD TOTAL ESTIMADA" dataDxfId="369" dataCellStyle="Énfasis2"/>
    <tableColumn id="5" xr3:uid="{7FFC5156-662F-49CF-9E70-FA5B8E02056A}" name="PRECIO UNITARIO ESTIMADO" dataDxfId="368"/>
    <tableColumn id="6" xr3:uid="{E410518D-9DCE-40E1-84C5-DB9BC252D66F}" name="MONTO TOTAL ESTIMADO" dataDxfId="367">
      <calculatedColumnFormula>+Table4101470[[#This Row],[PRECIO UNITARIO ESTIMADO]]*Table4101470[[#This Row],[CANTIDAD TOTAL ESTIMADA]]</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721C446-C9DD-40D3-9554-487790D2C8A8}" name="Table410141875" displayName="Table410141875" ref="A205:F214" totalsRowShown="0" headerRowDxfId="366" dataDxfId="365">
  <tableColumns count="6">
    <tableColumn id="1" xr3:uid="{5A9FA0B6-5AE2-4B09-AB37-E7D27ADAF8A8}" name="CÓDIGO CATÁLOGO" dataDxfId="364"/>
    <tableColumn id="2" xr3:uid="{8F64FB43-55E2-443B-A123-345A0073BCEA}" name="ARTÍCULO" dataDxfId="363"/>
    <tableColumn id="7" xr3:uid="{243B9CCC-AE99-4A02-B352-74FF1DB8B54F}" name="UNIDAD DE MEDIDA" dataDxfId="362"/>
    <tableColumn id="4" xr3:uid="{E5081465-45D9-4190-BE80-EC511A4F0A92}" name="CANTIDAD TOTAL ESTIMADA" dataDxfId="361" dataCellStyle="Énfasis2"/>
    <tableColumn id="5" xr3:uid="{5627B16D-9FCC-41A5-87A4-CE5F2A0F79AE}" name="PRECIO UNITARIO ESTIMADO" dataDxfId="360"/>
    <tableColumn id="6" xr3:uid="{648211B3-21A1-43A7-85D4-E0167D8936AE}" name="MONTO TOTAL ESTIMADO" dataDxfId="359">
      <calculatedColumnFormula>+Table410141875[[#This Row],[PRECIO UNITARIO ESTIMADO]]*Table410141875[[#This Row],[CANTIDAD TOTAL ESTIMADA]]</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25A3C19-6A8A-4425-9D6B-9324746D5942}" name="Table41014181976" displayName="Table41014181976" ref="A225:F234" totalsRowShown="0" headerRowDxfId="358" dataDxfId="357">
  <tableColumns count="6">
    <tableColumn id="1" xr3:uid="{C0C2DDA1-9308-4235-A875-F5FF5B416F3B}" name="CÓDIGO CATÁLOGO" dataDxfId="356"/>
    <tableColumn id="2" xr3:uid="{9A1DA390-9843-4BEA-8FA9-B1D6CC26C940}" name="ARTÍCULO" dataDxfId="355" dataCellStyle="ArticleBody_UNSCPCDescription"/>
    <tableColumn id="7" xr3:uid="{C413626A-3904-49AE-93B5-29F174CE1937}" name="UNIDAD DE MEDIDA" dataDxfId="354" dataCellStyle="ArticleBody_UNSCPCDescription"/>
    <tableColumn id="4" xr3:uid="{2D204776-87C4-4DD2-BCAC-8E7B81F4AE2F}" name="CANTIDAD TOTAL ESTIMADA" dataDxfId="353" dataCellStyle="Énfasis2"/>
    <tableColumn id="5" xr3:uid="{1A151577-7616-4E0C-A60C-6F461D994298}" name="PRECIO UNITARIO ESTIMADO" dataDxfId="352" dataCellStyle="Moneda"/>
    <tableColumn id="6" xr3:uid="{E1CA6400-6F3B-4F57-A047-421A6C6A8FD7}" name="MONTO TOTAL ESTIMADO" dataDxfId="351" dataCellStyle="ArticleBody_currency">
      <calculatedColumnFormula>Table41014181976[[#This Row],[PRECIO UNITARIO ESTIMADO]]*Table41014181976[[#This Row],[CANTIDAD TOTAL ESTIMADA]]</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11120AD-302F-4987-8559-9A9548697EA6}" name="Table4101418192077" displayName="Table4101418192077" ref="A245:F254" totalsRowShown="0" headerRowDxfId="350" dataDxfId="349">
  <tableColumns count="6">
    <tableColumn id="1" xr3:uid="{FB01019D-EECA-472C-B8BD-292FA7FF0848}" name="CÓDIGO CATÁLOGO" dataDxfId="348"/>
    <tableColumn id="2" xr3:uid="{56AE7B8E-C0F8-44CA-93DA-B29D7DA99ABD}" name="ARTÍCULO" dataDxfId="347" dataCellStyle="ArticleBody_UNSCPCDescription"/>
    <tableColumn id="7" xr3:uid="{25405887-E698-40D5-A995-4ED5DB841EDD}" name="UNIDAD DE MEDIDA" dataDxfId="346" dataCellStyle="ArticleBody_UNSCPCDescription"/>
    <tableColumn id="4" xr3:uid="{14AB5207-1305-417C-8928-E0DCCC1D81DC}" name="CANTIDAD TOTAL ESTIMADA" dataDxfId="345" dataCellStyle="Énfasis2"/>
    <tableColumn id="5" xr3:uid="{0D383192-0752-49DA-8A4B-D6EE58B62A5F}" name="PRECIO UNITARIO ESTIMADO" dataDxfId="344" dataCellStyle="Moneda"/>
    <tableColumn id="6" xr3:uid="{6A0A6FB3-47D1-4BD8-9912-C6AA10FCD555}" name="MONTO TOTAL ESTIMADO" dataDxfId="343" dataCellStyle="ArticleBody_currency">
      <calculatedColumnFormula>Table4101418192077[[#This Row],[CANTIDAD TOTAL ESTIMADA]]*Table4101418192077[[#This Row],[PRECIO UNITARIO ESTIMADO]]</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F7FC72E-F745-4E17-955F-9C73539E1124}" name="Table410141819202178" displayName="Table410141819202178" ref="A265:F274" totalsRowShown="0" headerRowDxfId="342" dataDxfId="341">
  <tableColumns count="6">
    <tableColumn id="1" xr3:uid="{13506B90-4CFA-40FA-9A39-49EBAEAAC8FE}" name="CÓDIGO CATÁLOGO" dataDxfId="340"/>
    <tableColumn id="2" xr3:uid="{FF40F3C5-1C6D-4DF3-941C-08390E1476B8}" name="ARTÍCULO" dataDxfId="339" dataCellStyle="ArticleBody_UNSCPCDescription"/>
    <tableColumn id="7" xr3:uid="{D487B439-B8B3-4717-88B1-8548A798E678}" name="UNIDAD DE MEDIDA" dataDxfId="338" dataCellStyle="ArticleBody_UNSCPCDescription"/>
    <tableColumn id="4" xr3:uid="{558E7C52-AEA8-4F30-8790-5561ABEDBE53}" name="CANTIDAD TOTAL ESTIMADA" dataDxfId="337" dataCellStyle="Énfasis2"/>
    <tableColumn id="5" xr3:uid="{15922930-97B1-4246-AC13-89EB50D03B3B}" name="PRECIO UNITARIO ESTIMADO" dataDxfId="336" dataCellStyle="Moneda"/>
    <tableColumn id="6" xr3:uid="{36D77EF8-B5BD-4EEB-95A8-E8F1FA5AB4B4}" name="MONTO TOTAL ESTIMADO" dataDxfId="335">
      <calculatedColumnFormula>+Table410141819202178[[#This Row],[PRECIO UNITARIO ESTIMADO]]*Table410141819202178[[#This Row],[CANTIDAD TOTAL ESTIMADA]]</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446110F-C15E-4156-8A31-B2A507D20F30}" name="Table4101418172682" displayName="Table4101418172682" ref="A313:F330" totalsRowShown="0" headerRowDxfId="334" dataDxfId="333">
  <tableColumns count="6">
    <tableColumn id="1" xr3:uid="{7A78C5BF-9599-4C81-9112-DAFE4762B3FD}" name="CÓDIGO CATÁLOGO" dataDxfId="332"/>
    <tableColumn id="2" xr3:uid="{A936F652-F49B-4C86-881E-89187A4CD231}" name="ARTÍCULO" dataDxfId="331"/>
    <tableColumn id="7" xr3:uid="{0A6DDB42-492F-45B3-B2A3-8160B3D76832}" name="UNIDAD DE MEDIDA" dataDxfId="330"/>
    <tableColumn id="4" xr3:uid="{C6FA6F1E-5B68-494C-A417-6D6DA80D54F2}" name="CANTIDAD TOTAL ESTIMADA" dataDxfId="329" dataCellStyle="Énfasis2"/>
    <tableColumn id="5" xr3:uid="{DAF94A4E-9629-4A71-9A3A-9DF5E9301A90}" name="PRECIO UNITARIO ESTIMADO" dataDxfId="328"/>
    <tableColumn id="6" xr3:uid="{A994E8EB-AE5C-4E27-8152-CED5F5A61DEE}" name="MONTO TOTAL ESTIMADO" dataDxfId="327">
      <calculatedColumnFormula>Table4101418172682[[#This Row],[CANTIDAD TOTAL ESTIMADA]]*Table4101418172682[[#This Row],[PRECIO UNITARIO ESTIMADO]]</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88B3F97-9B02-4805-BA5C-44A3E3FA2C33}" name="Table4101418172883" displayName="Table4101418172883" ref="A342:F359" totalsRowShown="0" headerRowDxfId="326" dataDxfId="325">
  <tableColumns count="6">
    <tableColumn id="1" xr3:uid="{FE5B4B26-C1F2-414C-AEB0-B6B4922977F1}" name="CÓDIGO CATÁLOGO" dataDxfId="324"/>
    <tableColumn id="2" xr3:uid="{FC306556-3015-4B25-A1C6-5DDA6FBD02F6}" name="ARTÍCULO" dataDxfId="323"/>
    <tableColumn id="7" xr3:uid="{A85F89F8-D33F-41A0-BC03-3A42E72B8273}" name="UNIDAD DE MEDIDA" dataDxfId="322"/>
    <tableColumn id="4" xr3:uid="{0BFE3C5F-6490-414A-A8C4-E07867A2FFA6}" name="CANTIDAD TOTAL ESTIMADA" dataDxfId="321" dataCellStyle="Énfasis2"/>
    <tableColumn id="5" xr3:uid="{573081FC-1410-437E-97B1-3C664BA734EB}" name="PRECIO UNITARIO ESTIMADO" dataDxfId="320"/>
    <tableColumn id="6" xr3:uid="{30CC5629-1A02-4510-9390-C10EC3E49026}" name="MONTO TOTAL ESTIMADO" dataDxfId="319">
      <calculatedColumnFormula>+Table4101418172883[[#This Row],[PRECIO UNITARIO ESTIMADO]]*Table4101418172883[[#This Row],[CANTIDAD TOTAL ESTIMADA]]</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FD0E2E-2C10-47DA-ABD8-C442E9E4787D}" name="Table4334" displayName="Table4334" ref="A36:F41" totalsRowShown="0" headerRowDxfId="470" dataDxfId="469">
  <tableColumns count="6">
    <tableColumn id="1" xr3:uid="{22DF922C-F514-49D1-BB4F-0F3EDAC9AC84}" name="CÓDIGO CATÁLOGO" dataDxfId="468"/>
    <tableColumn id="2" xr3:uid="{A4C5C93B-210D-46B9-8A1B-6CCAB8A86FE9}" name="ARTÍCULO" dataDxfId="467">
      <calculatedColumnFormula>IFERROR(INDEX(UNSPSCDes,MATCH(INDIRECT(ADDRESS(ROW(),COLUMN()-1,4)),UNSPSCCode,0)),IF(INDIRECT(ADDRESS(ROW(),COLUMN()-1,4))="72101511","Servicio de instalación o mantenimiento o reparación de aires acondicionados",""))</calculatedColumnFormula>
    </tableColumn>
    <tableColumn id="7" xr3:uid="{63E5A074-CE6E-4B37-957D-73D7C302523B}" name="UNIDAD DE MEDIDA" dataDxfId="466"/>
    <tableColumn id="4" xr3:uid="{4E537C18-B0A5-4151-A34C-8943C5840F3D}" name="CANTIDAD TOTAL ESTIMADA" dataDxfId="465"/>
    <tableColumn id="5" xr3:uid="{91A9CE54-D788-496F-B2FB-6C0A781119EF}" name="PRECIO UNITARIO ESTIMADO" dataDxfId="464"/>
    <tableColumn id="6" xr3:uid="{273F77EF-315E-40B9-931A-30C316A67F64}" name="MONTO TOTAL ESTIMADO" dataDxfId="463">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F492AD1-A559-4EC7-8A7D-ECEE6D01D242}" name="Table410141817283084" displayName="Table410141817283084" ref="A372:F389" totalsRowShown="0" headerRowDxfId="318" dataDxfId="317">
  <tableColumns count="6">
    <tableColumn id="1" xr3:uid="{89AF0668-8DDE-47A4-A660-5FDA7B3BE70D}" name="CÓDIGO CATÁLOGO" dataDxfId="316"/>
    <tableColumn id="2" xr3:uid="{732168C5-6695-4481-BBFF-057BB02EFDF9}" name="ARTÍCULO" dataDxfId="315"/>
    <tableColumn id="7" xr3:uid="{B27F7C0E-BD70-4E8E-A9CE-E065C5ADC6CA}" name="UNIDAD DE MEDIDA" dataDxfId="314"/>
    <tableColumn id="4" xr3:uid="{C78548CE-F650-4D1A-AADF-48630E428B8F}" name="CANTIDAD TOTAL ESTIMADA" dataDxfId="313" dataCellStyle="Énfasis2"/>
    <tableColumn id="5" xr3:uid="{B8C74378-EE43-4673-A2B1-4BE17822B724}" name="PRECIO UNITARIO ESTIMADO" dataDxfId="312"/>
    <tableColumn id="6" xr3:uid="{E25728EA-2ED9-45C0-8716-2E88055B7632}" name="MONTO TOTAL ESTIMADO" dataDxfId="311">
      <calculatedColumnFormula>+Table410141817283084[[#This Row],[PRECIO UNITARIO ESTIMADO]]*Table410141817283084[[#This Row],[CANTIDAD TOTAL ESTIMADA]]</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EB3C50-1BD2-4525-8998-8C5CB357B3DF}" name="Table4101418172830323688" displayName="Table4101418172830323688" ref="A437:F461" totalsRowShown="0" headerRowDxfId="310" dataDxfId="309">
  <tableColumns count="6">
    <tableColumn id="1" xr3:uid="{71246149-80CB-4149-B5A9-1A842BAEFBEA}" name="CÓDIGO CATÁLOGO" dataDxfId="308"/>
    <tableColumn id="2" xr3:uid="{DC48F47D-AA04-4FF4-A794-0E5014CBB461}" name="ARTÍCULO" dataDxfId="307"/>
    <tableColumn id="7" xr3:uid="{AA5A627F-ECC2-4277-83C1-EF56884B3F7B}" name="UNIDAD DE MEDIDA" dataDxfId="306"/>
    <tableColumn id="4" xr3:uid="{71517448-DC0D-43E9-9C36-B003CCC512AC}" name="CANTIDAD TOTAL ESTIMADA" dataDxfId="305" dataCellStyle="Énfasis2"/>
    <tableColumn id="5" xr3:uid="{8A3E8243-441E-4036-B261-BD399D22B3F0}" name="PRECIO UNITARIO ESTIMADO" dataDxfId="304"/>
    <tableColumn id="6" xr3:uid="{EAB8C704-136B-4512-B807-925AD7383261}" name="MONTO TOTAL ESTIMADO" dataDxfId="303">
      <calculatedColumnFormula>+Table4101418172830323688[[#This Row],[PRECIO UNITARIO ESTIMADO]]*Table4101418172830323688[[#This Row],[CANTIDAD TOTAL ESTIMADA]]</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D072038-F12A-432A-97DB-B4E0E0C5E700}" name="Table410141817283032363889" displayName="Table410141817283032363889" ref="A473:F497" totalsRowShown="0" headerRowDxfId="302" dataDxfId="301">
  <tableColumns count="6">
    <tableColumn id="1" xr3:uid="{AE94C11E-11FD-44AF-B320-74A1CCB99240}" name="CÓDIGO CATÁLOGO" dataDxfId="300"/>
    <tableColumn id="2" xr3:uid="{744FA84B-2F12-4A07-AA22-7D2E8E65AA0E}" name="ARTÍCULO" dataDxfId="299"/>
    <tableColumn id="7" xr3:uid="{EE2BC32E-5209-4D0D-B85A-3236EC83B5DE}" name="UNIDAD DE MEDIDA" dataDxfId="298"/>
    <tableColumn id="4" xr3:uid="{1ABA2F7D-1DAB-43B8-894A-C735227B32F2}" name="CANTIDAD TOTAL ESTIMADA" dataDxfId="297" dataCellStyle="Énfasis2"/>
    <tableColumn id="5" xr3:uid="{3AD29C3C-BDA1-474A-9FAD-920B50BD0EED}" name="PRECIO UNITARIO ESTIMADO" dataDxfId="296"/>
    <tableColumn id="6" xr3:uid="{D5276CAB-E976-47FA-8422-BD44B5802EF6}" name="MONTO TOTAL ESTIMADO" dataDxfId="295">
      <calculatedColumnFormula>+Table410141817283032363889[[#This Row],[PRECIO UNITARIO ESTIMADO]]*Table410141817283032363889[[#This Row],[CANTIDAD TOTAL ESTIMADA]]</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ACE7527-FFFC-4483-87A1-BEEF8E43323B}" name="Table41014181728303236384090" displayName="Table41014181728303236384090" ref="A509:F533" totalsRowShown="0" headerRowDxfId="294" dataDxfId="293">
  <tableColumns count="6">
    <tableColumn id="1" xr3:uid="{4510647B-1EB0-49B4-B60A-6F5ACE44C5DE}" name="CÓDIGO CATÁLOGO" dataDxfId="292"/>
    <tableColumn id="2" xr3:uid="{32F3D7E1-6B34-446D-A76A-D54068F2EF1B}" name="ARTÍCULO" dataDxfId="291"/>
    <tableColumn id="7" xr3:uid="{E9B08C25-820B-46C7-A6FD-FC43D6F161F7}" name="UNIDAD DE MEDIDA" dataDxfId="290"/>
    <tableColumn id="4" xr3:uid="{F99719BD-CD77-4E79-B5F2-17CC61549AB4}" name="CANTIDAD TOTAL ESTIMADA" dataDxfId="289" dataCellStyle="Énfasis2"/>
    <tableColumn id="5" xr3:uid="{E30DA34E-136E-4512-9C0E-CF1375313E3C}" name="PRECIO UNITARIO ESTIMADO" dataDxfId="288"/>
    <tableColumn id="6" xr3:uid="{630B448C-41D2-4B08-ABDC-259A563D2621}" name="MONTO TOTAL ESTIMADO" dataDxfId="287">
      <calculatedColumnFormula>+Table41014181728303236384090[[#This Row],[PRECIO UNITARIO ESTIMADO]]*Table41014181728303236384090[[#This Row],[CANTIDAD TOTAL ESTIMADA]]</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E4F6286-28ED-4F3B-8D10-6C11780B65A9}" name="Table410141817283032162592" displayName="Table410141817283032162592" ref="A574:F593" totalsRowShown="0" headerRowDxfId="286" dataDxfId="285">
  <tableColumns count="6">
    <tableColumn id="1" xr3:uid="{B287FE8F-E9F1-40CE-AB5F-E9C9EE83DCB1}" name="CÓDIGO CATÁLOGO" dataDxfId="284"/>
    <tableColumn id="2" xr3:uid="{126F2047-5A87-4403-813A-32FAE39CBFC2}" name="ARTÍCULO" dataDxfId="283"/>
    <tableColumn id="7" xr3:uid="{DFAEAE25-5D54-46C5-A616-2EE7D84C35A5}" name="UNIDAD DE MEDIDA" dataDxfId="282"/>
    <tableColumn id="4" xr3:uid="{BD218BA0-C295-49CB-991A-DE92B3510F84}" name="CANTIDAD TOTAL ESTIMADA" dataDxfId="281" dataCellStyle="Énfasis2"/>
    <tableColumn id="5" xr3:uid="{3F77CA6F-4AC1-4F82-B2BC-C12179976DF7}" name="PRECIO UNITARIO ESTIMADO" dataDxfId="280"/>
    <tableColumn id="6" xr3:uid="{0CC6E751-E43E-4E2D-B9FD-526BAB5A05A2}" name="MONTO TOTAL ESTIMADO" dataDxfId="279">
      <calculatedColumnFormula>+Table410141817283032162592[[#This Row],[PRECIO UNITARIO ESTIMADO]]*Table410141817283032162592[[#This Row],[CANTIDAD TOTAL ESTIMADA]]</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0295F87-8D37-40C9-B14F-B7C4DD38DAB8}" name="Table410141817283032163194" displayName="Table410141817283032163194" ref="A604:F607" totalsRowShown="0" headerRowDxfId="278" dataDxfId="277">
  <tableColumns count="6">
    <tableColumn id="1" xr3:uid="{61A6E2DC-902B-4AF1-9D94-DB3C37587717}" name="CÓDIGO CATÁLOGO" dataDxfId="276"/>
    <tableColumn id="2" xr3:uid="{323F8280-5426-4824-9178-0AAD31DE0F7E}" name="ARTÍCULO" dataDxfId="275"/>
    <tableColumn id="7" xr3:uid="{4A382466-93BA-4169-B4B6-8B9D848F6425}" name="UNIDAD DE MEDIDA" dataDxfId="274"/>
    <tableColumn id="4" xr3:uid="{E5910E51-8F9A-4140-89A5-F9CB01A6BE7E}" name="CANTIDAD TOTAL ESTIMADA" dataDxfId="273" dataCellStyle="Énfasis2"/>
    <tableColumn id="5" xr3:uid="{8590231E-D522-4B4B-AD7A-AF2F86A28642}" name="PRECIO UNITARIO ESTIMADO" dataDxfId="272"/>
    <tableColumn id="6" xr3:uid="{B8F7F94B-491B-4158-A8B9-5E7B3F5CCBD7}" name="MONTO TOTAL ESTIMADO" dataDxfId="271">
      <calculatedColumnFormula>+Table410141817283032163194[[#This Row],[PRECIO UNITARIO ESTIMADO]]*Table410141817283032163194[[#This Row],[CANTIDAD TOTAL ESTIMADA]]</calculatedColumnFormula>
    </tableColumn>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AD99D50-0D74-423A-8E54-A4FB8C537CB2}" name="Table41014181728303216313435374196" displayName="Table41014181728303216313435374196" ref="A618:F621" totalsRowShown="0" headerRowDxfId="270" dataDxfId="269">
  <tableColumns count="6">
    <tableColumn id="1" xr3:uid="{D1B3ED24-EA64-4925-8064-D7568567B437}" name="CÓDIGO CATÁLOGO" dataDxfId="268"/>
    <tableColumn id="2" xr3:uid="{B7802827-1961-4A9E-BA21-887BF28B78F7}" name="ARTÍCULO" dataDxfId="267"/>
    <tableColumn id="7" xr3:uid="{BC81D2AE-E29D-4870-90D0-B9E651626CA4}" name="UNIDAD DE MEDIDA" dataDxfId="266"/>
    <tableColumn id="4" xr3:uid="{50235AB1-E767-438F-BC6E-CEC0337F22F2}" name="CANTIDAD TOTAL ESTIMADA" dataDxfId="265" dataCellStyle="Énfasis2"/>
    <tableColumn id="5" xr3:uid="{E513B80A-2BAA-4CB9-8B0D-5E2DDECBF20C}" name="PRECIO UNITARIO ESTIMADO" dataDxfId="264"/>
    <tableColumn id="6" xr3:uid="{F2CB1BFF-528A-42EA-8C7F-1B03CF8869AA}" name="MONTO TOTAL ESTIMADO" dataDxfId="263">
      <calculatedColumnFormula>+Table41014181728303216313435374196[[#This Row],[PRECIO UNITARIO ESTIMADO]]*Table41014181728303216313435374196[[#This Row],[CANTIDAD TOTAL ESTIMADA]]</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A1F7A10-AAC4-4989-82F0-F0121B7F3846}" name="Table4101418172830321631343537414599" displayName="Table4101418172830321631343537414599" ref="A632:F634" totalsRowShown="0" headerRowDxfId="262" dataDxfId="261">
  <tableColumns count="6">
    <tableColumn id="1" xr3:uid="{D7F70300-1C9A-4697-8907-D4D24848E2B9}" name="CÓDIGO CATÁLOGO" dataDxfId="260"/>
    <tableColumn id="2" xr3:uid="{D6223519-DFB5-45F1-A157-74C166F8012D}" name="ARTÍCULO" dataDxfId="259"/>
    <tableColumn id="7" xr3:uid="{6285A545-263C-4D74-B7EB-8B1C23722D74}" name="UNIDAD DE MEDIDA" dataDxfId="258"/>
    <tableColumn id="4" xr3:uid="{88F71C58-87AF-4C5F-A120-97B5805DFDC4}" name="CANTIDAD TOTAL ESTIMADA" dataDxfId="257" dataCellStyle="Énfasis2">
      <calculatedColumnFormula>92*22*12</calculatedColumnFormula>
    </tableColumn>
    <tableColumn id="5" xr3:uid="{9E5C3F1D-66BF-4349-937C-08F6D45B8762}" name="PRECIO UNITARIO ESTIMADO" dataDxfId="256"/>
    <tableColumn id="6" xr3:uid="{41C228BA-F796-4F41-9065-47BB08F7AD8B}" name="MONTO TOTAL ESTIMADO" dataDxfId="255">
      <calculatedColumnFormula>+Table4101418172830321631343537414599[[#This Row],[PRECIO UNITARIO ESTIMADO]]*Table4101418172830321631343537414599[[#This Row],[CANTIDAD TOTAL ESTIMADA]]</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A7DD923-2266-4A4A-BEE7-4B0094918CAA}" name="Table4101418172830321631343537414549101" displayName="Table4101418172830321631343537414549101" ref="A645:F651" totalsRowShown="0" headerRowDxfId="254" dataDxfId="253">
  <tableColumns count="6">
    <tableColumn id="1" xr3:uid="{BCE7231A-BB4F-4EBD-843B-915AD5CE21AE}" name="CÓDIGO CATÁLOGO" dataDxfId="252"/>
    <tableColumn id="2" xr3:uid="{3DFEB5FB-8275-4143-A896-0E438FE10DD0}" name="ARTÍCULO" dataDxfId="251"/>
    <tableColumn id="7" xr3:uid="{35BE7219-2105-46C8-A0DB-9814E0A3527E}" name="UNIDAD DE MEDIDA" dataDxfId="250"/>
    <tableColumn id="4" xr3:uid="{FAE78F97-B332-4054-A7B2-690D05E5397B}" name="CANTIDAD TOTAL ESTIMADA" dataDxfId="249" dataCellStyle="Énfasis2"/>
    <tableColumn id="5" xr3:uid="{FDD0A2BC-5C37-4FCE-B854-34393B37C1E8}" name="PRECIO UNITARIO ESTIMADO" dataDxfId="248"/>
    <tableColumn id="6" xr3:uid="{C495E037-B36F-4FDC-9C03-72FC06BE7DB2}" name="MONTO TOTAL ESTIMADO" dataDxfId="247">
      <calculatedColumnFormula>+Table4101418172830321631343537414549101[[#This Row],[PRECIO UNITARIO ESTIMADO]]*Table4101418172830321631343537414549101[[#This Row],[CANTIDAD TOTAL ESTIMADA]]</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593EFDD-93B5-45B9-98D2-F9681A26D460}" name="Table410141817283032163134353741454951103" displayName="Table410141817283032163134353741454951103" ref="A661:F663" totalsRowShown="0" headerRowDxfId="246" dataDxfId="245">
  <tableColumns count="6">
    <tableColumn id="1" xr3:uid="{7B771E9E-7FDD-46E3-8BEC-5E94646BBA82}" name="CÓDIGO CATÁLOGO" dataDxfId="244"/>
    <tableColumn id="2" xr3:uid="{92943553-EDF6-4954-86E3-C8C4E5C76E33}" name="ARTÍCULO" dataDxfId="243"/>
    <tableColumn id="7" xr3:uid="{018AF63C-BEDE-43C1-880A-019CD3B5E9AC}" name="UNIDAD DE MEDIDA" dataDxfId="242"/>
    <tableColumn id="4" xr3:uid="{B61EBFC6-BF96-4842-BA84-2945AF6ACB96}" name="CANTIDAD TOTAL ESTIMADA" dataDxfId="241" dataCellStyle="Énfasis2"/>
    <tableColumn id="5" xr3:uid="{08A23219-9C5B-4DD0-9CCA-C7BEDFBDAE4A}" name="PRECIO UNITARIO ESTIMADO" dataDxfId="240"/>
    <tableColumn id="6" xr3:uid="{C2B5BF83-45A1-4CC6-9609-6A15424FA215}" name="MONTO TOTAL ESTIMADO" dataDxfId="239">
      <calculatedColumnFormula>+Table410141817283032163134353741454951103[[#This Row],[PRECIO UNITARIO ESTIMADO]]*Table410141817283032163134353741454951103[[#This Row],[CANTIDAD TOTAL ESTIMADA]]</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0830AA-89F3-48E0-9A99-CB8AEAB760BA}" name="Table43435" displayName="Table43435" ref="A51:F56" totalsRowShown="0" headerRowDxfId="462" dataDxfId="461">
  <tableColumns count="6">
    <tableColumn id="1" xr3:uid="{E28421EA-C78F-4889-AAE5-67A8C4D4EF20}" name="CÓDIGO CATÁLOGO" dataDxfId="460"/>
    <tableColumn id="2" xr3:uid="{24CBAF3B-2E31-4AF7-8D3E-D78C1CAC162A}" name="ARTÍCULO" dataDxfId="459">
      <calculatedColumnFormula>IFERROR(INDEX(UNSPSCDes,MATCH(INDIRECT(ADDRESS(ROW(),COLUMN()-1,4)),UNSPSCCode,0)),IF(INDIRECT(ADDRESS(ROW(),COLUMN()-1,4))="72101511","Servicio de instalación o mantenimiento o reparación de aires acondicionados",""))</calculatedColumnFormula>
    </tableColumn>
    <tableColumn id="7" xr3:uid="{2BAB1D71-9B70-42CC-A9F5-86D098AA9946}" name="UNIDAD DE MEDIDA" dataDxfId="458"/>
    <tableColumn id="4" xr3:uid="{FEE6A31A-1712-41DE-A07E-E046B5D1648C}" name="CANTIDAD TOTAL ESTIMADA" dataDxfId="457"/>
    <tableColumn id="5" xr3:uid="{2A7D7B29-FADB-46C4-8F29-60BCF0C4E4F6}" name="PRECIO UNITARIO ESTIMADO" dataDxfId="456"/>
    <tableColumn id="6" xr3:uid="{2A4E755A-C579-48E7-9084-3C0A81C66146}" name="MONTO TOTAL ESTIMADO" dataDxfId="455">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34ADA0F-9F35-49F7-A531-FE654F2EB5E8}" name="Table41014181728303216313435374145495153106" displayName="Table41014181728303216313435374145495153106" ref="A673:F675" totalsRowShown="0" headerRowDxfId="238" dataDxfId="237">
  <tableColumns count="6">
    <tableColumn id="1" xr3:uid="{C17BC40D-F32A-4F34-B4B5-20F466CF9D4E}" name="CÓDIGO CATÁLOGO" dataDxfId="236"/>
    <tableColumn id="2" xr3:uid="{67530262-9DAD-44B9-A2AB-7DB426E8D76F}" name="ARTÍCULO" dataDxfId="235"/>
    <tableColumn id="7" xr3:uid="{9CDD0F5D-5CF9-430F-948D-E88DC92773E4}" name="UNIDAD DE MEDIDA" dataDxfId="234"/>
    <tableColumn id="4" xr3:uid="{BDCFD921-C2AB-4BAE-8061-7B2CA376EAFD}" name="CANTIDAD TOTAL ESTIMADA" dataDxfId="233" dataCellStyle="Énfasis2"/>
    <tableColumn id="5" xr3:uid="{B6FDCAE4-E308-4782-97BF-238E2CBEA383}" name="PRECIO UNITARIO ESTIMADO" dataDxfId="232"/>
    <tableColumn id="6" xr3:uid="{9D7D84E4-BA70-4174-85F9-FA05E901313C}" name="MONTO TOTAL ESTIMADO" dataDxfId="231">
      <calculatedColumnFormula>+Table41014181728303216313435374145495153106[[#This Row],[PRECIO UNITARIO ESTIMADO]]*Table41014181728303216313435374145495153106[[#This Row],[CANTIDAD TOTAL ESTIMADA]]</calculatedColumnFormula>
    </tableColumn>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8CA9FB5-9B1A-4293-8B4C-27250188EEB5}" name="Table4101418172830321631343537414549515355108" displayName="Table4101418172830321631343537414549515355108" ref="A686:F692" totalsRowShown="0" headerRowDxfId="230" dataDxfId="229">
  <tableColumns count="6">
    <tableColumn id="1" xr3:uid="{4D64CC78-2812-47F8-9BEA-F6D7D6B7839B}" name="CÓDIGO CATÁLOGO" dataDxfId="228"/>
    <tableColumn id="2" xr3:uid="{49F789D8-749D-49FB-84ED-05A89DAE2FB2}" name="ARTÍCULO" dataDxfId="227"/>
    <tableColumn id="7" xr3:uid="{1A8FE5A8-BC73-4A80-94AE-9F525DB7D861}" name="UNIDAD DE MEDIDA" dataDxfId="226"/>
    <tableColumn id="4" xr3:uid="{9ECA09CD-3262-4951-A348-CBDA272FF26A}" name="CANTIDAD TOTAL ESTIMADA" dataDxfId="225" dataCellStyle="Énfasis2"/>
    <tableColumn id="5" xr3:uid="{6769D283-C6F5-4EA4-B08F-4E70DCBEEDB8}" name="PRECIO UNITARIO ESTIMADO" dataDxfId="224"/>
    <tableColumn id="6" xr3:uid="{F48273C0-6649-4276-B005-9BF22596FDC4}" name="MONTO TOTAL ESTIMADO" dataDxfId="223">
      <calculatedColumnFormula>+Table4101418172830321631343537414549515355108[[#This Row],[PRECIO UNITARIO ESTIMADO]]*Table4101418172830321631343537414549515355108[[#This Row],[CANTIDAD TOTAL ESTIMADA]]</calculatedColumnFormula>
    </tableColumn>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41F7137-CB38-40DC-B21C-C1FF131A65EA}" name="Table410141817283032163134353741454951535559110" displayName="Table410141817283032163134353741454951535559110" ref="A703:F708" totalsRowShown="0" headerRowDxfId="222" dataDxfId="221">
  <tableColumns count="6">
    <tableColumn id="1" xr3:uid="{123771C2-7665-4DC1-87BD-634304D2854C}" name="CÓDIGO CATÁLOGO" dataDxfId="220"/>
    <tableColumn id="2" xr3:uid="{4C4037CB-017C-493C-999D-639B90621A3A}" name="ARTÍCULO" dataDxfId="219"/>
    <tableColumn id="7" xr3:uid="{A0D2E39F-5A72-4969-82FC-E1118228DE59}" name="UNIDAD DE MEDIDA" dataDxfId="218"/>
    <tableColumn id="4" xr3:uid="{8AB78C01-E584-4851-939C-DE0920C3E36E}" name="CANTIDAD TOTAL ESTIMADA" dataDxfId="217" dataCellStyle="Énfasis2"/>
    <tableColumn id="5" xr3:uid="{ADE0B391-E47E-4187-B1B3-A5F28B437381}" name="PRECIO UNITARIO ESTIMADO" dataDxfId="216"/>
    <tableColumn id="6" xr3:uid="{D459CE72-A179-49AC-ADFF-9F28B6B4B73E}" name="MONTO TOTAL ESTIMADO" dataDxfId="215">
      <calculatedColumnFormula>+Table410141817283032163134353741454951535559110[[#This Row],[PRECIO UNITARIO ESTIMADO]]*Table410141817283032163134353741454951535559110[[#This Row],[CANTIDAD TOTAL ESTIMADA]]</calculatedColumnFormula>
    </tableColumn>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4B7C470-EF89-4A92-87E6-56399036416A}" name="Table41014181728303216313435374145495153555922114" displayName="Table41014181728303216313435374145495153555922114" ref="A731:F733" totalsRowShown="0" headerRowDxfId="214" dataDxfId="213">
  <tableColumns count="6">
    <tableColumn id="1" xr3:uid="{76BE7601-78E0-4199-9A65-8C7253518586}" name="CÓDIGO CATÁLOGO" dataDxfId="212"/>
    <tableColumn id="2" xr3:uid="{46225680-E470-4727-A49E-F4ECD345D717}" name="ARTÍCULO" dataDxfId="211"/>
    <tableColumn id="7" xr3:uid="{B373CB1D-0CE6-4F5C-A8A8-58653142C539}" name="UNIDAD DE MEDIDA" dataDxfId="210"/>
    <tableColumn id="4" xr3:uid="{37D9E87C-CFB6-4953-BF08-6487CA7BD369}" name="CANTIDAD TOTAL ESTIMADA" dataDxfId="209" dataCellStyle="Énfasis2"/>
    <tableColumn id="5" xr3:uid="{72EAF7BA-A3AE-4121-8BCB-9CC04C97E37C}" name="PRECIO UNITARIO ESTIMADO" dataDxfId="208"/>
    <tableColumn id="6" xr3:uid="{D5BF743A-1D1F-42A9-BFA5-F3FB27010F11}" name="MONTO TOTAL ESTIMADO" dataDxfId="207">
      <calculatedColumnFormula>+Table41014181728303216313435374145495153555922114[[#This Row],[PRECIO UNITARIO ESTIMADO]]*Table41014181728303216313435374145495153555922114[[#This Row],[CANTIDAD TOTAL ESTIMADA]]</calculatedColumnFormula>
    </tableColum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1056050-DACB-4A40-928C-6F772E88B089}" name="Table4101418172830321631343537414549515355592229115" displayName="Table4101418172830321631343537414549515355592229115" ref="A719:F721" totalsRowShown="0" headerRowDxfId="206" dataDxfId="205">
  <tableColumns count="6">
    <tableColumn id="1" xr3:uid="{9C62236C-EE17-4CC1-A983-11E0F7D44D71}" name="CÓDIGO CATÁLOGO" dataDxfId="204"/>
    <tableColumn id="2" xr3:uid="{E0AEA670-9D76-4BE0-BBF4-647E140EC219}" name="ARTÍCULO" dataDxfId="203"/>
    <tableColumn id="7" xr3:uid="{49180966-0A5F-41BC-A10A-59F50EB04D35}" name="UNIDAD DE MEDIDA" dataDxfId="202"/>
    <tableColumn id="4" xr3:uid="{8764DDEF-D26B-4131-BA25-F2C9393B5469}" name="CANTIDAD TOTAL ESTIMADA" dataDxfId="201" dataCellStyle="Énfasis2"/>
    <tableColumn id="5" xr3:uid="{30784249-9116-4699-A636-881CF29984B8}" name="PRECIO UNITARIO ESTIMADO" dataDxfId="200"/>
    <tableColumn id="6" xr3:uid="{72F01DF7-EF96-4856-A6D5-3FDE5FDC8C12}" name="MONTO TOTAL ESTIMADO" dataDxfId="199">
      <calculatedColumnFormula>+Table4101418172830321631343537414549515355592229115[[#This Row],[PRECIO UNITARIO ESTIMADO]]*Table4101418172830321631343537414549515355592229115[[#This Row],[CANTIDAD TOTAL ESTIMADA]]</calculatedColumnFormula>
    </tableColumn>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4AA9D1A-9150-4266-AC9A-853E21ED78C2}" name="Table4101418172830321631343537414549515355592239116" displayName="Table4101418172830321631343537414549515355592239116" ref="A743:F746" totalsRowShown="0" headerRowDxfId="198" dataDxfId="197">
  <tableColumns count="6">
    <tableColumn id="1" xr3:uid="{558F3631-AD38-4F59-8024-16CD72CA706C}" name="CÓDIGO CATÁLOGO" dataDxfId="196"/>
    <tableColumn id="2" xr3:uid="{C0020909-6727-4F1A-B126-0FDC074BDF6D}" name="ARTÍCULO" dataDxfId="195"/>
    <tableColumn id="7" xr3:uid="{1C37B892-1C5B-470A-884C-1B19377E62C6}" name="UNIDAD DE MEDIDA" dataDxfId="194"/>
    <tableColumn id="4" xr3:uid="{EF1162CC-69A5-42FE-B2AB-18591774453D}" name="CANTIDAD TOTAL ESTIMADA" dataDxfId="193" dataCellStyle="Énfasis2"/>
    <tableColumn id="5" xr3:uid="{791507FF-73BF-4245-AED4-0D289A43CA2B}" name="PRECIO UNITARIO ESTIMADO" dataDxfId="192"/>
    <tableColumn id="6" xr3:uid="{26B9E15D-7643-4FB0-B1C9-74867F01C959}" name="MONTO TOTAL ESTIMADO" dataDxfId="191">
      <calculatedColumnFormula>+Table4101418172830321631343537414549515355592239116[[#This Row],[PRECIO UNITARIO ESTIMADO]]*Table4101418172830321631343537414549515355592239116[[#This Row],[CANTIDAD TOTAL ESTIMADA]]</calculatedColumnFormula>
    </tableColumn>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6E05882-CAEE-40C7-A0EF-33E6360648B8}" name="Table41014181728303216313435374145495153555922442743" displayName="Table41014181728303216313435374145495153555922442743" ref="A759:F769" totalsRowShown="0" headerRowDxfId="190" dataDxfId="189">
  <tableColumns count="6">
    <tableColumn id="1" xr3:uid="{54633A95-D9A5-41E1-B805-4F6A392DE510}" name="CÓDIGO CATÁLOGO" dataDxfId="188"/>
    <tableColumn id="2" xr3:uid="{EE2951A8-EFA5-4A91-B246-7F37338CB7D6}" name="ARTÍCULO" dataDxfId="187"/>
    <tableColumn id="7" xr3:uid="{EA579ECE-CCAD-457D-8314-1569DE93E525}" name="UNIDAD DE MEDIDA" dataDxfId="186"/>
    <tableColumn id="4" xr3:uid="{D1E3041D-9E1F-4649-9F5A-6930EDD266EA}" name="CANTIDAD TOTAL ESTIMADA" dataDxfId="185" dataCellStyle="Énfasis2"/>
    <tableColumn id="5" xr3:uid="{97CC75F1-8D3F-4A2F-967F-D3E0E1E9E53C}" name="PRECIO UNITARIO ESTIMADO" dataDxfId="184"/>
    <tableColumn id="6" xr3:uid="{78F3E6E0-BFFD-4EBD-B096-4026771A3D0E}" name="MONTO TOTAL ESTIMADO" dataDxfId="183">
      <calculatedColumnFormula>+Table41014181728303216313435374145495153555922442743[[#This Row],[PRECIO UNITARIO ESTIMADO]]*Table41014181728303216313435374145495153555922442743[[#This Row],[CANTIDAD TOTAL ESTIMADA]]</calculatedColumnFormula>
    </tableColumn>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C0FC81F-3C3D-4B30-8091-BA99497BB29C}" name="Table4101418172830321631343537414549515355592244274346" displayName="Table4101418172830321631343537414549515355592244274346" ref="A780:F782" totalsRowShown="0" headerRowDxfId="182" dataDxfId="181">
  <tableColumns count="6">
    <tableColumn id="1" xr3:uid="{8DC27678-4A38-413E-B567-DC00C24D40C2}" name="CÓDIGO CATÁLOGO" dataDxfId="180" dataCellStyle="ArticleHeader"/>
    <tableColumn id="2" xr3:uid="{9010DC6E-EB83-4053-9E99-402BDC60710D}" name="ARTÍCULO" dataDxfId="179"/>
    <tableColumn id="7" xr3:uid="{F8D5483F-1188-4BD1-981C-66F62AF9C107}" name="UNIDAD DE MEDIDA" dataDxfId="178" dataCellStyle="ArticleHeader"/>
    <tableColumn id="4" xr3:uid="{B151510F-E1C2-45C8-99C4-8868F6C3B470}" name="CANTIDAD TOTAL ESTIMADA" dataDxfId="177" dataCellStyle="ArticleHeader"/>
    <tableColumn id="5" xr3:uid="{C697E27A-0FA8-4D27-8B40-FBF131EEBCBA}" name="PRECIO UNITARIO ESTIMADO" dataDxfId="176" dataCellStyle="ArticleHeader"/>
    <tableColumn id="6" xr3:uid="{BCE9BE5C-CB87-4DE8-86ED-9642D940B421}" name="MONTO TOTAL ESTIMADO" dataDxfId="175" dataCellStyle="ArticleHeader"/>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44DA0ED-1DAB-45E4-B1EE-D7527C93761C}" name="Table410141817283032163134353741454951535559224427434648" displayName="Table410141817283032163134353741454951535559224427434648" ref="A791:F795" totalsRowShown="0" headerRowDxfId="174" dataDxfId="173">
  <tableColumns count="6">
    <tableColumn id="1" xr3:uid="{02FA0B92-0A9D-4151-BFDA-A32471A1C723}" name="CÓDIGO CATÁLOGO" dataDxfId="172" dataCellStyle="ArticleHeader"/>
    <tableColumn id="2" xr3:uid="{A8579CB6-7C13-4634-8363-12C298FA8F51}" name="ARTÍCULO" dataDxfId="171"/>
    <tableColumn id="7" xr3:uid="{0A2C8D99-725E-4822-AFF8-BA9BEB01CEA1}" name="UNIDAD DE MEDIDA" dataDxfId="170" dataCellStyle="ArticleHeader"/>
    <tableColumn id="4" xr3:uid="{F18A649B-2FBF-4473-9582-338FD16E9CA0}" name="CANTIDAD TOTAL ESTIMADA" dataDxfId="169" dataCellStyle="ArticleHeader"/>
    <tableColumn id="5" xr3:uid="{A7DC298E-3231-4DD2-B6AF-A385F42AF792}" name="PRECIO UNITARIO ESTIMADO" dataDxfId="168" dataCellStyle="ArticleHeader"/>
    <tableColumn id="6" xr3:uid="{5BF130A9-7EAD-4650-8A53-715ECE86909F}" name="MONTO TOTAL ESTIMADO" dataDxfId="167" dataCellStyle="ArticleHeader"/>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E92D9A9-C76A-4417-9478-C1FC2364FD2D}" name="Table41014181728303216313435374145495153555922442743464852" displayName="Table41014181728303216313435374145495153555922442743464852" ref="A804:F806" totalsRowShown="0" headerRowDxfId="166" dataDxfId="165">
  <tableColumns count="6">
    <tableColumn id="1" xr3:uid="{D9275067-ADAC-4346-8CFD-9935035F6238}" name="CÓDIGO CATÁLOGO" dataDxfId="164" dataCellStyle="ArticleHeader"/>
    <tableColumn id="2" xr3:uid="{50819453-A792-4AA8-B86D-76F49CD53C1F}" name="ARTÍCULO" dataDxfId="163"/>
    <tableColumn id="7" xr3:uid="{37D2C479-8D9F-4411-9904-D74B961DA61E}" name="UNIDAD DE MEDIDA" dataDxfId="162" dataCellStyle="ArticleHeader"/>
    <tableColumn id="4" xr3:uid="{09671FC1-959D-4596-AB84-F85936A75525}" name="CANTIDAD TOTAL ESTIMADA" dataDxfId="161" dataCellStyle="ArticleHeader"/>
    <tableColumn id="5" xr3:uid="{0CCD15D7-3685-4CE9-B274-D1CB98C01FA5}" name="PRECIO UNITARIO ESTIMADO" dataDxfId="160" dataCellStyle="ArticleHeader"/>
    <tableColumn id="6" xr3:uid="{45C0CAE4-7098-4871-AB0B-B4D91BA878A2}" name="MONTO TOTAL ESTIMADO" dataDxfId="159" dataCellStyle="ArticleHeader"/>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606AB09-9EF5-4330-A200-F95A580139FC}" name="Table434537" displayName="Table434537" ref="A67:F72" totalsRowShown="0" headerRowDxfId="454" dataDxfId="453">
  <tableColumns count="6">
    <tableColumn id="1" xr3:uid="{038F0C17-5BAD-4306-8F78-CAD1C7A433F5}" name="CÓDIGO CATÁLOGO" dataDxfId="452"/>
    <tableColumn id="2" xr3:uid="{8B96DE89-A5D3-4DBE-BE03-CD55C6200682}" name="ARTÍCULO" dataDxfId="451">
      <calculatedColumnFormula>IFERROR(INDEX(UNSPSCDes,MATCH(INDIRECT(ADDRESS(ROW(),COLUMN()-1,4)),UNSPSCCode,0)),IF(INDIRECT(ADDRESS(ROW(),COLUMN()-1,4))="72101511","Servicio de instalación o mantenimiento o reparación de aires acondicionados",""))</calculatedColumnFormula>
    </tableColumn>
    <tableColumn id="7" xr3:uid="{80BFF749-7E60-44B9-8D3A-6BE4102E54C6}" name="UNIDAD DE MEDIDA" dataDxfId="450"/>
    <tableColumn id="4" xr3:uid="{9BFFC724-AF56-4FC0-8540-6723E2847024}" name="CANTIDAD TOTAL ESTIMADA" dataDxfId="449"/>
    <tableColumn id="5" xr3:uid="{26977B15-8F6A-4229-83B3-A736CD77CAF2}" name="PRECIO UNITARIO ESTIMADO" dataDxfId="448"/>
    <tableColumn id="6" xr3:uid="{F3D1910E-8C52-49A1-AA1D-6F77F7E12EEB}" name="MONTO TOTAL ESTIMADO" dataDxfId="447">
      <calculatedColumnFormula>INDIRECT(ADDRESS(ROW(),COLUMN()-2,4))*INDIRECT(ADDRESS(ROW(),COLUMN()-1,4))</calculatedColumnFormula>
    </tableColumn>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4F494FE-00E1-439F-9D42-969184C2C5CB}" name="Table410141817283032163134353741454951535559224427434648525462" displayName="Table410141817283032163134353741454951535559224427434648525462" ref="A816:F818" totalsRowShown="0" headerRowDxfId="158" dataDxfId="157">
  <tableColumns count="6">
    <tableColumn id="1" xr3:uid="{2016A3FB-762C-4200-B63F-98989E74D3AF}" name="CÓDIGO CATÁLOGO" dataDxfId="156" dataCellStyle="ArticleHeader"/>
    <tableColumn id="2" xr3:uid="{C20AECFD-EE54-409B-9CA1-F4E7BD6FB382}" name="ARTÍCULO" dataDxfId="155"/>
    <tableColumn id="7" xr3:uid="{8FE14D5F-8296-44C6-999A-3A7E97DCF6B2}" name="UNIDAD DE MEDIDA" dataDxfId="154" dataCellStyle="ArticleHeader"/>
    <tableColumn id="4" xr3:uid="{30758089-B12F-4E0A-AFAF-3FD4CFE682D7}" name="CANTIDAD TOTAL ESTIMADA" dataDxfId="153" dataCellStyle="ArticleHeader"/>
    <tableColumn id="5" xr3:uid="{6BF1E70B-7E86-4D82-93BD-1475889B7B59}" name="PRECIO UNITARIO ESTIMADO" dataDxfId="152" dataCellStyle="ArticleHeader"/>
    <tableColumn id="6" xr3:uid="{63370A96-4798-47D7-965D-CAD14BC625F0}" name="MONTO TOTAL ESTIMADO" dataDxfId="151" dataCellStyle="ArticleHeader"/>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8E8F11BB-5ED1-4707-953D-C866BB2AF307}" name="Table41014181728303216313435374145495153555922442743464852546263647172" displayName="Table41014181728303216313435374145495153555922442743464852546263647172" ref="A828:F830" totalsRowShown="0" headerRowDxfId="150" dataDxfId="149">
  <tableColumns count="6">
    <tableColumn id="1" xr3:uid="{016CEAC0-AF14-4223-8331-BA3D29598333}" name="CÓDIGO CATÁLOGO" dataDxfId="148" dataCellStyle="ArticleHeader"/>
    <tableColumn id="2" xr3:uid="{91493829-47EF-43D0-AF9A-933E1485C7F4}" name="ARTÍCULO" dataDxfId="147"/>
    <tableColumn id="7" xr3:uid="{AD669DDC-A7C0-4C67-B596-757A40B4D81E}" name="UNIDAD DE MEDIDA" dataDxfId="146" dataCellStyle="ArticleHeader"/>
    <tableColumn id="4" xr3:uid="{A247B2E7-57AA-4C79-A98B-4A164D1FF1BA}" name="CANTIDAD TOTAL ESTIMADA" dataDxfId="145" dataCellStyle="ArticleHeader"/>
    <tableColumn id="5" xr3:uid="{4050DE54-042A-4009-AEAE-90A0E92E08C8}" name="PRECIO UNITARIO ESTIMADO" dataDxfId="144" dataCellStyle="ArticleHeader"/>
    <tableColumn id="6" xr3:uid="{2A60C4FD-8A6A-48E5-9828-EF8844413182}" name="MONTO TOTAL ESTIMADO" dataDxfId="143" dataCellStyle="ArticleHeader"/>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5814410E-F469-4A17-AE6A-453E29C135F5}" name="Table410141817283032163134353741454951535559224427434648525462636471727374" displayName="Table410141817283032163134353741454951535559224427434648525462636471727374" ref="A840:F842" totalsRowShown="0" headerRowDxfId="142" dataDxfId="141">
  <tableColumns count="6">
    <tableColumn id="1" xr3:uid="{D7456B8A-C1B9-4130-B6E0-6DA814A0B86D}" name="CÓDIGO CATÁLOGO" dataDxfId="140" dataCellStyle="ArticleHeader"/>
    <tableColumn id="2" xr3:uid="{8C9E5EBC-CF73-4CA0-BFAF-1433FFC671CE}" name="ARTÍCULO" dataDxfId="139"/>
    <tableColumn id="7" xr3:uid="{C1C44416-E788-41F2-9364-8487819241CA}" name="UNIDAD DE MEDIDA" dataDxfId="138" dataCellStyle="ArticleHeader"/>
    <tableColumn id="4" xr3:uid="{124C74A3-AAD6-40F2-B323-27CB5C57FD50}" name="CANTIDAD TOTAL ESTIMADA" dataDxfId="137" dataCellStyle="ArticleHeader"/>
    <tableColumn id="5" xr3:uid="{263C2C7C-B911-4D3D-B806-A9B0D6D4FA6D}" name="PRECIO UNITARIO ESTIMADO" dataDxfId="136" dataCellStyle="ArticleHeader"/>
    <tableColumn id="6" xr3:uid="{01C6DDCC-A12E-4680-A74E-7E30ED9A4AFB}" name="MONTO TOTAL ESTIMADO" dataDxfId="135" dataCellStyle="ArticleHeader"/>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CB2ADE49-D73D-4EAA-B344-F1C1615D8E72}" name="Table41014181728303216313435374145495153555922442743464852546263647172737479" displayName="Table41014181728303216313435374145495153555922442743464852546263647172737479" ref="A851:F854" totalsRowShown="0" headerRowDxfId="134" dataDxfId="133">
  <tableColumns count="6">
    <tableColumn id="1" xr3:uid="{6EA7E920-34C4-4EB3-A219-0FE319F8E213}" name="CÓDIGO CATÁLOGO" dataDxfId="132" dataCellStyle="ArticleHeader"/>
    <tableColumn id="2" xr3:uid="{C6DCF5AB-2A89-443F-A89D-50DC2F61772B}" name="ARTÍCULO" dataDxfId="131"/>
    <tableColumn id="7" xr3:uid="{F9207F81-148F-464F-B2A3-EF78468E9C14}" name="UNIDAD DE MEDIDA" dataDxfId="130" dataCellStyle="ArticleHeader"/>
    <tableColumn id="4" xr3:uid="{4AD5FFF7-FD8D-409B-82B3-7150613B5A07}" name="CANTIDAD TOTAL ESTIMADA" dataDxfId="129" dataCellStyle="ArticleHeader"/>
    <tableColumn id="5" xr3:uid="{689F7EF6-EAB9-44C5-9975-18FA35261F0D}" name="PRECIO UNITARIO ESTIMADO" dataDxfId="128" dataCellStyle="ArticleHeader"/>
    <tableColumn id="6" xr3:uid="{57467BE5-55B3-43E8-8FD6-F2182598FDDD}" name="MONTO TOTAL ESTIMADO" dataDxfId="127" dataCellStyle="ArticleHeader"/>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C3DC814D-5E49-4D07-9A1C-07940209DB8C}" name="Table4101418172830321631343537414549515355592244274346485254626364717273747980" displayName="Table4101418172830321631343537414549515355592244274346485254626364717273747980" ref="A863:F867" totalsRowShown="0" headerRowDxfId="126" dataDxfId="125">
  <tableColumns count="6">
    <tableColumn id="1" xr3:uid="{5CFD92B6-17E0-4E1A-923E-3FF276948509}" name="CÓDIGO CATÁLOGO" dataDxfId="124" dataCellStyle="ArticleHeader"/>
    <tableColumn id="2" xr3:uid="{8777B18E-A4CD-4ECA-8BA4-58C1376A33F8}" name="ARTÍCULO" dataDxfId="123"/>
    <tableColumn id="7" xr3:uid="{82781EB2-52D7-4BC1-9C6C-826600E4F3EB}" name="UNIDAD DE MEDIDA" dataDxfId="122" dataCellStyle="ArticleHeader"/>
    <tableColumn id="4" xr3:uid="{BCA08945-F044-4E2B-B4DF-9EE9995B6867}" name="CANTIDAD TOTAL ESTIMADA" dataDxfId="121" dataCellStyle="ArticleHeader"/>
    <tableColumn id="5" xr3:uid="{412CB7D8-B528-43BE-BC52-FD850FD0B38C}" name="PRECIO UNITARIO ESTIMADO" dataDxfId="120" dataCellStyle="ArticleHeader"/>
    <tableColumn id="6" xr3:uid="{BF9F9084-1D06-4AEB-94F9-A666D146F704}" name="MONTO TOTAL ESTIMADO" dataDxfId="119" dataCellStyle="ArticleHeader"/>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B7AC29D5-F9A1-435C-B7C4-07EA4E15B5CE}" name="Table410141817283032163134353741454951535559224427434648525462636471727374798081" displayName="Table410141817283032163134353741454951535559224427434648525462636471727374798081" ref="A877:F882" totalsRowShown="0" headerRowDxfId="118" dataDxfId="117">
  <tableColumns count="6">
    <tableColumn id="1" xr3:uid="{821D56B5-A5F5-4CDE-BC7F-21F7C8907B2C}" name="CÓDIGO CATÁLOGO" dataDxfId="116" dataCellStyle="ArticleHeader"/>
    <tableColumn id="2" xr3:uid="{BB20182C-0B0B-4C46-9B45-D635F28F18DD}" name="ARTÍCULO" dataDxfId="115"/>
    <tableColumn id="7" xr3:uid="{38469957-A269-49CF-AAE6-AAA226DB84FB}" name="UNIDAD DE MEDIDA" dataDxfId="114" dataCellStyle="ArticleHeader"/>
    <tableColumn id="4" xr3:uid="{222BBAAB-E17E-4A0F-8D75-4F0164F800C4}" name="CANTIDAD TOTAL ESTIMADA" dataDxfId="113" dataCellStyle="ArticleHeader"/>
    <tableColumn id="5" xr3:uid="{CA6A8000-DA26-48A8-B7CA-32BD5B737734}" name="PRECIO UNITARIO ESTIMADO" dataDxfId="112" dataCellStyle="ArticleHeader"/>
    <tableColumn id="6" xr3:uid="{76FDFBEA-66E0-47BC-BA82-A4BE80FDBD50}" name="MONTO TOTAL ESTIMADO" dataDxfId="111" dataCellStyle="ArticleHeader"/>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E35C7207-91EB-4971-89EC-5078C154184A}" name="Table41014181728303216313435374145495153555922442743464852546263647172737479808185" displayName="Table41014181728303216313435374145495153555922442743464852546263647172737479808185" ref="A893:F906" totalsRowShown="0" headerRowDxfId="110" dataDxfId="109">
  <tableColumns count="6">
    <tableColumn id="1" xr3:uid="{FCADEE7F-ADB9-4A76-ADC5-2530C434DA1F}" name="CÓDIGO CATÁLOGO" dataDxfId="108" dataCellStyle="ArticleHeader"/>
    <tableColumn id="2" xr3:uid="{62BED2E7-F027-4391-923A-759DAD6126F6}" name="ARTÍCULO" dataDxfId="107"/>
    <tableColumn id="7" xr3:uid="{A993EE15-6C01-4D9E-A2FB-98E212E63AA3}" name="UNIDAD DE MEDIDA" dataDxfId="106" dataCellStyle="ArticleHeader"/>
    <tableColumn id="4" xr3:uid="{2E9E1AE3-171A-4A5E-A78F-3566B19314D1}" name="CANTIDAD TOTAL ESTIMADA" dataDxfId="105" dataCellStyle="ArticleHeader"/>
    <tableColumn id="5" xr3:uid="{8C87FD58-E430-43EB-9896-30BFA03A28FA}" name="PRECIO UNITARIO ESTIMADO" dataDxfId="104" dataCellStyle="ArticleHeader"/>
    <tableColumn id="6" xr3:uid="{D8597AC4-140F-4C98-9E88-8CC02742D247}" name="MONTO TOTAL ESTIMADO" dataDxfId="103" dataCellStyle="ArticleHeader"/>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FC967795-1C5B-494C-A4C7-E3C81E9CCBBC}" name="Table4101418172830321631343537414549515355592244274346485254626364717273747980818587" displayName="Table4101418172830321631343537414549515355592244274346485254626364717273747980818587" ref="A917:F921" totalsRowShown="0" headerRowDxfId="102" dataDxfId="101">
  <tableColumns count="6">
    <tableColumn id="1" xr3:uid="{2DEB430F-C45D-4188-B6E7-0DB14D35E9D3}" name="CÓDIGO CATÁLOGO" dataDxfId="100" dataCellStyle="ArticleHeader"/>
    <tableColumn id="2" xr3:uid="{315AEB60-3148-4735-A2D3-757C09F1C546}" name="ARTÍCULO" dataDxfId="99"/>
    <tableColumn id="7" xr3:uid="{4014F4CE-A788-4C43-9ABB-3C0D3DDD514E}" name="UNIDAD DE MEDIDA" dataDxfId="98" dataCellStyle="ArticleHeader"/>
    <tableColumn id="4" xr3:uid="{1F191967-1BE7-4CF8-BEC2-70F9A3E2ECD1}" name="CANTIDAD TOTAL ESTIMADA" dataDxfId="97" dataCellStyle="ArticleHeader"/>
    <tableColumn id="5" xr3:uid="{CA444758-4F71-4A8C-AF53-F4BE36369FB1}" name="PRECIO UNITARIO ESTIMADO" dataDxfId="96" dataCellStyle="ArticleHeader"/>
    <tableColumn id="6" xr3:uid="{EE3DE8FD-53D2-4457-9CE5-F765608A4469}" name="MONTO TOTAL ESTIMADO" dataDxfId="95" dataCellStyle="ArticleHeader"/>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E7A53E87-8901-461F-B28E-5B0D2D22C8BF}" name="Table41014181728303216313435374145495153555922442743464852546263647172737479808185879193" displayName="Table41014181728303216313435374145495153555922442743464852546263647172737479808185879193" ref="A931:F933" totalsRowShown="0" headerRowDxfId="94" dataDxfId="93">
  <tableColumns count="6">
    <tableColumn id="1" xr3:uid="{E926323F-54A8-48BF-9B75-05815059CBAD}" name="CÓDIGO CATÁLOGO" dataDxfId="92" dataCellStyle="ArticleHeader"/>
    <tableColumn id="2" xr3:uid="{14E1214D-A859-4C08-A385-3D687BCF89E5}" name="ARTÍCULO" dataDxfId="91"/>
    <tableColumn id="7" xr3:uid="{9A45724D-3D19-473B-8F48-E01017075719}" name="UNIDAD DE MEDIDA" dataDxfId="90" dataCellStyle="ArticleHeader"/>
    <tableColumn id="4" xr3:uid="{C79F8CE8-6FC3-4AB8-9AEA-01C1207A441E}" name="CANTIDAD TOTAL ESTIMADA" dataDxfId="89" dataCellStyle="ArticleHeader"/>
    <tableColumn id="5" xr3:uid="{B7E20377-3FC8-4A9E-9D59-CEB3444ABFAB}" name="PRECIO UNITARIO ESTIMADO" dataDxfId="88" dataCellStyle="ArticleHeader"/>
    <tableColumn id="6" xr3:uid="{7747A277-838C-46A3-BA72-D5168B774506}" name="MONTO TOTAL ESTIMADO" dataDxfId="87" dataCellStyle="ArticleHeader"/>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5349BAFA-266C-4B39-B602-50EEF9BA1BC1}" name="Table410141817283032163134353741454951535559224427434642" displayName="Table410141817283032163134353741454951535559224427434642" ref="A959:F961" totalsRowShown="0" headerRowDxfId="86" dataDxfId="85">
  <tableColumns count="6">
    <tableColumn id="1" xr3:uid="{291BC616-095C-41FF-AEF9-581B87A8F715}" name="CÓDIGO CATÁLOGO" dataDxfId="84" dataCellStyle="ArticleHeader"/>
    <tableColumn id="2" xr3:uid="{986F4B12-D66D-4292-99F3-74D157896147}" name="ARTÍCULO" dataDxfId="83"/>
    <tableColumn id="7" xr3:uid="{740A5C91-1C19-494A-A627-7C38ED566812}" name="UNIDAD DE MEDIDA" dataDxfId="82" dataCellStyle="ArticleHeader"/>
    <tableColumn id="4" xr3:uid="{08AA0D2F-0A0B-4A55-AAB1-13CDAADF6C2A}" name="CANTIDAD TOTAL ESTIMADA" dataDxfId="81" dataCellStyle="ArticleHeader"/>
    <tableColumn id="5" xr3:uid="{61491C9A-125B-4DBB-9453-BC4363F2C806}" name="PRECIO UNITARIO ESTIMADO" dataDxfId="80" dataCellStyle="ArticleHeader"/>
    <tableColumn id="6" xr3:uid="{B3F857C5-40AB-4849-876B-065A43DF8F25}" name="MONTO TOTAL ESTIMADO" dataDxfId="79" dataCellStyle="ArticleHeader"/>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967396-2F9F-40F6-966E-6329784AABC3}" name="Table4656" displayName="Table4656" ref="A83:F87" totalsRowShown="0" headerRowDxfId="446" dataDxfId="444" headerRowBorderDxfId="445" tableBorderDxfId="443">
  <tableColumns count="6">
    <tableColumn id="1" xr3:uid="{AA221B19-B06B-43AA-8DC7-D7F57A790273}" name="CÓDIGO CATÁLOGO" dataDxfId="442" dataCellStyle="Énfasis2"/>
    <tableColumn id="2" xr3:uid="{E2EDB314-9E22-46A1-8EB9-E352A59529D9}" name="ARTÍCULO" dataDxfId="441"/>
    <tableColumn id="7" xr3:uid="{CD3F64FD-1E78-40AD-9D10-64A77E627B7E}" name="UNIDAD DE MEDIDA" dataDxfId="440"/>
    <tableColumn id="4" xr3:uid="{F48C6E3D-0C46-4FAC-8437-F0ABA80549FB}" name="CANTIDAD TOTAL ESTIMADA" dataDxfId="439" dataCellStyle="Énfasis2"/>
    <tableColumn id="5" xr3:uid="{34E1DE36-F232-4D43-B294-6FBF733F20B8}" name="PRECIO UNITARIO ESTIMADO" dataDxfId="438"/>
    <tableColumn id="6" xr3:uid="{69AFCBDD-55C7-4D0F-9AF7-385342A9BA63}" name="MONTO TOTAL ESTIMADO" dataDxfId="437">
      <calculatedColumnFormula>+Table4656[[#This Row],[PRECIO UNITARIO ESTIMADO]]*Table4656[[#This Row],[CANTIDAD TOTAL ESTIMADA]]</calculatedColumnFormula>
    </tableColumn>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80095F1-4433-468B-AE7B-86CF240B976E}" name="Table41014181728303216313435374145495153555922442743464250" displayName="Table41014181728303216313435374145495153555922442743464250" ref="A970:F972" totalsRowShown="0" headerRowDxfId="78" dataDxfId="77">
  <tableColumns count="6">
    <tableColumn id="1" xr3:uid="{E1DCEDFE-B275-434A-B513-BF18CABA7B4E}" name="CÓDIGO CATÁLOGO" dataDxfId="76" dataCellStyle="ArticleHeader"/>
    <tableColumn id="2" xr3:uid="{A7206ED2-CDA3-40B3-926F-DA7C6F88F72C}" name="ARTÍCULO" dataDxfId="75"/>
    <tableColumn id="7" xr3:uid="{5EB897AF-EC71-4B77-8743-F487C4924E6E}" name="UNIDAD DE MEDIDA" dataDxfId="74" dataCellStyle="ArticleHeader"/>
    <tableColumn id="4" xr3:uid="{A58918CA-15C2-4DB8-A621-D4873895CD6B}" name="CANTIDAD TOTAL ESTIMADA" dataDxfId="73" dataCellStyle="ArticleHeader"/>
    <tableColumn id="5" xr3:uid="{C36D1D62-F36B-4E60-A62F-D368408FC00C}" name="PRECIO UNITARIO ESTIMADO" dataDxfId="72" dataCellStyle="ArticleHeader"/>
    <tableColumn id="6" xr3:uid="{E41D5B7C-7F6E-4E98-AF89-A4C1F199C68D}" name="MONTO TOTAL ESTIMADO" dataDxfId="71" dataCellStyle="ArticleHeader"/>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62727E2C-CB58-4D12-9AEF-2C42DD34079D}" name="Table4101418172830321631343537414549515355592244274346425069" displayName="Table4101418172830321631343537414549515355592244274346425069" ref="A981:F983" totalsRowShown="0" headerRowDxfId="70" dataDxfId="69">
  <tableColumns count="6">
    <tableColumn id="1" xr3:uid="{E311BE4B-5242-4F1A-B18C-DE36FBFB798E}" name="CÓDIGO CATÁLOGO" dataDxfId="68" dataCellStyle="ArticleHeader"/>
    <tableColumn id="2" xr3:uid="{B5ACBF4B-A94E-4774-9C26-7B739E75DB07}" name="ARTÍCULO" dataDxfId="67"/>
    <tableColumn id="7" xr3:uid="{E2676F28-14E3-4443-A4FE-F7E6DA076628}" name="UNIDAD DE MEDIDA" dataDxfId="66" dataCellStyle="ArticleHeader"/>
    <tableColumn id="4" xr3:uid="{38B400F2-EE1B-4FBE-84E9-30E0AE7C6CCD}" name="CANTIDAD TOTAL ESTIMADA" dataDxfId="65" dataCellStyle="ArticleHeader"/>
    <tableColumn id="5" xr3:uid="{2597E717-A788-4CBD-8C57-BC0FA63F5970}" name="PRECIO UNITARIO ESTIMADO" dataDxfId="64" dataCellStyle="ArticleHeader"/>
    <tableColumn id="6" xr3:uid="{F2F355C0-9ED9-402D-9C8F-3C906D4C5444}" name="MONTO TOTAL ESTIMADO" dataDxfId="63" dataCellStyle="ArticleHeader"/>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B095276-81F3-427D-988B-0DB48E250F60}" name="Table410141817283032163134353741454951535559224427434642506997" displayName="Table410141817283032163134353741454951535559224427434642506997" ref="A992:F997" totalsRowShown="0" headerRowDxfId="62" dataDxfId="61">
  <tableColumns count="6">
    <tableColumn id="1" xr3:uid="{5A79F398-F406-411A-8366-DD5B55BD6D5F}" name="CÓDIGO CATÁLOGO" dataDxfId="60" dataCellStyle="ArticleHeader"/>
    <tableColumn id="2" xr3:uid="{A48B16AF-A136-492E-BB57-E77F239E48B1}" name="ARTÍCULO" dataDxfId="59"/>
    <tableColumn id="7" xr3:uid="{D5C82048-E17D-43AE-ABDE-1DF538401926}" name="UNIDAD DE MEDIDA" dataDxfId="58" dataCellStyle="ArticleHeader"/>
    <tableColumn id="4" xr3:uid="{0682F4D6-A0FC-4C05-B914-DBA49A184421}" name="CANTIDAD TOTAL ESTIMADA" dataDxfId="57" dataCellStyle="ArticleHeader"/>
    <tableColumn id="5" xr3:uid="{9E57C46F-2B72-473A-BABA-65B9291C6E7D}" name="PRECIO UNITARIO ESTIMADO" dataDxfId="56" dataCellStyle="ArticleHeader"/>
    <tableColumn id="6" xr3:uid="{96DCE525-B42F-4854-8AB9-13F4FBC33F28}" name="MONTO TOTAL ESTIMADO" dataDxfId="55" dataCellStyle="ArticleHeader"/>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E392C4D7-6639-45AF-B779-0C18DA98F0EC}" name="Table410141817283032163134353741454951535559224427434642506997102" displayName="Table410141817283032163134353741454951535559224427434642506997102" ref="A1006:F1008" totalsRowShown="0" headerRowDxfId="54" dataDxfId="53">
  <tableColumns count="6">
    <tableColumn id="1" xr3:uid="{4C98FBCC-4FE0-48D8-A535-52D8A465058B}" name="CÓDIGO CATÁLOGO" dataDxfId="52" dataCellStyle="ArticleHeader"/>
    <tableColumn id="2" xr3:uid="{0289254A-CF8C-4CA9-8FB4-0885CEA33BC1}" name="ARTÍCULO" dataDxfId="51"/>
    <tableColumn id="7" xr3:uid="{4DDEC363-D126-47BE-AA2C-CDE50AD53EF3}" name="UNIDAD DE MEDIDA" dataDxfId="50" dataCellStyle="ArticleHeader"/>
    <tableColumn id="4" xr3:uid="{562B3AD3-75C1-44BD-9AC6-06E80E896E65}" name="CANTIDAD TOTAL ESTIMADA" dataDxfId="49" dataCellStyle="ArticleHeader"/>
    <tableColumn id="5" xr3:uid="{454B007F-1C53-43E1-808B-34F914C84F3B}" name="PRECIO UNITARIO ESTIMADO" dataDxfId="48" dataCellStyle="ArticleHeader"/>
    <tableColumn id="6" xr3:uid="{94E70C64-2EB4-43C1-9BD2-336551C195AE}" name="MONTO TOTAL ESTIMADO" dataDxfId="47" dataCellStyle="ArticleHeader"/>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C177CD2F-54FA-4B01-A7AC-DE5439974897}" name="Table410141817283032163134353741454951535559224427434642506997102105" displayName="Table410141817283032163134353741454951535559224427434642506997102105" ref="A1018:F1020" totalsRowShown="0" headerRowDxfId="46" dataDxfId="45">
  <tableColumns count="6">
    <tableColumn id="1" xr3:uid="{56B8EDED-9024-42DE-B6A3-A18E9BFFD211}" name="CÓDIGO CATÁLOGO" dataDxfId="44" dataCellStyle="ArticleHeader"/>
    <tableColumn id="2" xr3:uid="{2E199C98-DC7E-4AA1-AB67-9BF62F4D5FB7}" name="ARTÍCULO" dataDxfId="43"/>
    <tableColumn id="7" xr3:uid="{7EB9CE9B-24C1-4430-8877-D6F7F0109F2D}" name="UNIDAD DE MEDIDA" dataDxfId="42" dataCellStyle="ArticleHeader"/>
    <tableColumn id="4" xr3:uid="{BF90A447-B640-4D51-965C-98C3591EC4E5}" name="CANTIDAD TOTAL ESTIMADA" dataDxfId="41" dataCellStyle="ArticleHeader"/>
    <tableColumn id="5" xr3:uid="{D7B813C5-8AA6-4987-8625-1C29FC21CD26}" name="PRECIO UNITARIO ESTIMADO" dataDxfId="40" dataCellStyle="ArticleHeader"/>
    <tableColumn id="6" xr3:uid="{6424F57D-C3B4-4003-8E81-5E86976F3F96}" name="MONTO TOTAL ESTIMADO" dataDxfId="39" dataCellStyle="ArticleHeader"/>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7AD36F4C-50F0-4727-B0AF-11C19A690B2F}" name="Table41014181728303216313435374145495153555922442743464852546263647172737479808185879193959861" displayName="Table41014181728303216313435374145495153555922442743464852546263647172737479808185879193959861" ref="A943:F949" totalsRowShown="0" headerRowDxfId="38" dataDxfId="37">
  <tableColumns count="6">
    <tableColumn id="1" xr3:uid="{9575A1EF-7E9A-4CB6-8C0E-F99B017E47F5}" name="CÓDIGO CATÁLOGO" dataDxfId="36" dataCellStyle="ArticleHeader"/>
    <tableColumn id="2" xr3:uid="{BD30019C-68D0-43D5-9F33-C33D502FE833}" name="ARTÍCULO" dataDxfId="35"/>
    <tableColumn id="7" xr3:uid="{80897859-7DC9-43B5-AE50-70D2469A781E}" name="UNIDAD DE MEDIDA" dataDxfId="34" dataCellStyle="ArticleHeader"/>
    <tableColumn id="4" xr3:uid="{46EB280A-3B9F-45C5-BE7D-EF1740670A29}" name="CANTIDAD TOTAL ESTIMADA" dataDxfId="33" dataCellStyle="ArticleHeader"/>
    <tableColumn id="5" xr3:uid="{34161B24-087A-4F75-8534-8D9D59798612}" name="PRECIO UNITARIO ESTIMADO" dataDxfId="32" dataCellStyle="ArticleHeader"/>
    <tableColumn id="6" xr3:uid="{B6ABFC33-1C23-42C1-9F0A-2EC59ACBB43E}" name="MONTO TOTAL ESTIMADO" dataDxfId="31" dataCellStyle="ArticleHeader"/>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24C74F04-D21C-4376-86EE-EC2E55FDFA28}" name="Table41014181728303216313435374145495153555922442743464269" displayName="Table41014181728303216313435374145495153555922442743464269" ref="A1053:F1055" totalsRowShown="0" headerRowDxfId="30" dataDxfId="29">
  <tableColumns count="6">
    <tableColumn id="1" xr3:uid="{EE3D786D-012A-4B47-A98D-B4C3E590D6C6}" name="CÓDIGO CATÁLOGO" dataDxfId="28" dataCellStyle="ArticleHeader"/>
    <tableColumn id="2" xr3:uid="{0579D55B-96D5-4E67-9967-A74E18E26B13}" name="ARTÍCULO" dataDxfId="27"/>
    <tableColumn id="7" xr3:uid="{03DD0DF1-CE92-4954-8294-8CDB671EAC8C}" name="UNIDAD DE MEDIDA" dataDxfId="26" dataCellStyle="ArticleHeader"/>
    <tableColumn id="4" xr3:uid="{1CA63A9F-C465-4E9D-9C7E-0BEFA487B71C}" name="CANTIDAD TOTAL ESTIMADA" dataDxfId="25" dataCellStyle="ArticleHeader"/>
    <tableColumn id="5" xr3:uid="{3FF5F527-EFE1-43AB-9EA1-1664778FE586}" name="PRECIO UNITARIO ESTIMADO" dataDxfId="24" dataCellStyle="ArticleHeader"/>
    <tableColumn id="6" xr3:uid="{32EA6B3E-C213-4C7E-85FF-F60332436B73}" name="MONTO TOTAL ESTIMADO" dataDxfId="23" dataCellStyle="ArticleHeader"/>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7B0F1570-3B8E-43E9-ADF3-5CBC6D701E77}" name="Table4101418172830321631343537414549515355592244274346426971" displayName="Table4101418172830321631343537414549515355592244274346426971" ref="A1066:F1070" totalsRowShown="0" headerRowDxfId="22" dataDxfId="21">
  <tableColumns count="6">
    <tableColumn id="1" xr3:uid="{AA09384B-D090-4A71-9A5C-105666FBA19C}" name="CÓDIGO CATÁLOGO" dataDxfId="20" dataCellStyle="ArticleHeader"/>
    <tableColumn id="2" xr3:uid="{CFF01C51-393E-4309-A487-9D7B4C6A1547}" name="ARTÍCULO" dataDxfId="19"/>
    <tableColumn id="7" xr3:uid="{0EBDF32B-10AC-45A0-ACA8-AAF19E0693AD}" name="UNIDAD DE MEDIDA" dataDxfId="18" dataCellStyle="ArticleHeader"/>
    <tableColumn id="4" xr3:uid="{E57D561D-80FC-45CD-AB49-4B5065721BEB}" name="CANTIDAD TOTAL ESTIMADA" dataDxfId="17" dataCellStyle="ArticleHeader"/>
    <tableColumn id="5" xr3:uid="{9696A9FA-7D6B-42A0-934A-B94C7A36CC4D}" name="PRECIO UNITARIO ESTIMADO" dataDxfId="16" dataCellStyle="ArticleHeader"/>
    <tableColumn id="6" xr3:uid="{5FB84E98-0F74-402F-803A-2443F5D9CC45}" name="MONTO TOTAL ESTIMADO" dataDxfId="15" dataCellStyle="ArticleHeader"/>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6B20CE13-249B-47CA-B68F-EE3C26D797B2}" name="Table3375" displayName="Table3375" ref="A1093:F1094" totalsRowShown="0" dataDxfId="14">
  <tableColumns count="6">
    <tableColumn id="1" xr3:uid="{D59DA53C-23FA-4CE2-B4AC-CC0CD46ABB3B}" name="CÓDIGO CATÁLOGO" dataDxfId="13"/>
    <tableColumn id="2" xr3:uid="{E9A85636-9EF3-48B6-8E44-213B4284055F}" name="ARTÍCULO" dataDxfId="12"/>
    <tableColumn id="3" xr3:uid="{185B3FD6-676D-42B9-BB08-F111E8074F7E}" name="UNIDAD DE MEDIDA" dataDxfId="11">
      <calculatedColumnFormula>IFERROR(VLOOKUP("UD",'[2]Informacion '!P:Q,2,FALSE),"")</calculatedColumnFormula>
    </tableColumn>
    <tableColumn id="4" xr3:uid="{F61BEE0C-84DE-465B-8F10-4B8042F9E9FC}" name="CANTIDAD TOTAL ESTIMADA" dataDxfId="10"/>
    <tableColumn id="5" xr3:uid="{C3EC175B-C6DE-49DB-87B4-2C5CAF2F2DC8}" name="PRECIO UNITARIO ESTIMADO" dataDxfId="9"/>
    <tableColumn id="6" xr3:uid="{6BEACAB1-EEC0-48AF-BBC6-9ACFEEB4747C}" name="MONTO TOTAL ESTIMADO" dataDxfId="8">
      <calculatedColumnFormula>INDIRECT(ADDRESS(ROW(),COLUMN()-2,4))*INDIRECT(ADDRESS(ROW(),COLUMN()-1,4))</calculatedColumnFormula>
    </tableColumn>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DFCD941-85C0-48A4-A656-B257049C3F68}" name="Table410141817283032163134353741454951535559224427434648525462636471727374798038" displayName="Table410141817283032163134353741454951535559224427434648525462636471727374798038" ref="A1201:F1203" totalsRowShown="0" headerRowDxfId="7" dataDxfId="6">
  <tableColumns count="6">
    <tableColumn id="1" xr3:uid="{D7199D55-5CB9-4F48-9842-9C8B5B70A625}" name="CÓDIGO CATÁLOGO" dataDxfId="5" dataCellStyle="ArticleHeader"/>
    <tableColumn id="2" xr3:uid="{DF8FB715-C296-420A-A591-57D04C4C2EC1}" name="ARTÍCULO" dataDxfId="4"/>
    <tableColumn id="7" xr3:uid="{BF5217A2-423C-43CB-A1CF-277547E9CDBE}" name="UNIDAD DE MEDIDA" dataDxfId="3" dataCellStyle="ArticleHeader"/>
    <tableColumn id="4" xr3:uid="{DA1F7443-C6D1-410B-A05E-09AE193497CB}" name="CANTIDAD TOTAL ESTIMADA" dataDxfId="2" dataCellStyle="ArticleHeader"/>
    <tableColumn id="5" xr3:uid="{EAD74F78-344C-438D-84F3-37ED33ACC5F3}" name="PRECIO UNITARIO ESTIMADO" dataDxfId="1" dataCellStyle="ArticleHeader"/>
    <tableColumn id="6" xr3:uid="{41676FCB-A5AD-4E0F-A53B-A79A748EB76E}" name="MONTO TOTAL ESTIMADO" dataDxfId="0" dataCellStyle="ArticleHeader"/>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DDA720-E9E0-4790-A029-3A9909E3BAEC}" name="Table43757" displayName="Table43757" ref="A97:F101" totalsRowShown="0" headerRowDxfId="436" dataDxfId="434" headerRowBorderDxfId="435" tableBorderDxfId="433">
  <tableColumns count="6">
    <tableColumn id="1" xr3:uid="{7BBAC542-626E-4136-84FE-4A80F005A0C4}" name="CÓDIGO CATÁLOGO" dataDxfId="432" dataCellStyle="Énfasis2"/>
    <tableColumn id="2" xr3:uid="{AFAE620F-C587-427E-9255-7B36A3AD5A92}" name="ARTÍCULO" dataDxfId="431"/>
    <tableColumn id="7" xr3:uid="{D8B892FA-7AFF-462D-B072-755699383BA2}" name="UNIDAD DE MEDIDA" dataDxfId="430"/>
    <tableColumn id="4" xr3:uid="{0DA033FF-B20B-48A4-91AF-188C9CE10A16}" name="CANTIDAD TOTAL ESTIMADA" dataDxfId="429" dataCellStyle="Énfasis2"/>
    <tableColumn id="5" xr3:uid="{6FCFA71A-41E8-475F-A907-846B502E9072}" name="PRECIO UNITARIO ESTIMADO" dataDxfId="428"/>
    <tableColumn id="6" xr3:uid="{32CC0E53-8ABB-4E17-B0DA-2AE1B3578839}" name="MONTO TOTAL ESTIMADO" dataDxfId="427">
      <calculatedColumnFormula>+Table43757[[#This Row],[PRECIO UNITARIO ESTIMADO]]*Table43757[[#This Row],[CANTIDAD TOTAL ESTIMADA]]</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83CA0F1-8897-4B6C-A69B-0EDC3AE0212D}" name="Table434858" displayName="Table434858" ref="A111:F116" totalsRowShown="0" headerRowDxfId="426" dataDxfId="424" headerRowBorderDxfId="425" tableBorderDxfId="423">
  <tableColumns count="6">
    <tableColumn id="1" xr3:uid="{9290B7BB-D854-4820-AA21-9B9453C3F8EE}" name="CÓDIGO CATÁLOGO" dataDxfId="422" dataCellStyle="Énfasis2"/>
    <tableColumn id="2" xr3:uid="{46E71998-3C58-4852-8016-8A5DA0122FA2}" name="ARTÍCULO" dataDxfId="421"/>
    <tableColumn id="7" xr3:uid="{6F27472B-4D9B-4D77-A030-74354DD468FE}" name="UNIDAD DE MEDIDA" dataDxfId="420"/>
    <tableColumn id="4" xr3:uid="{7D328CC8-AA68-4830-867F-75FB539F9697}" name="CANTIDAD TOTAL ESTIMADA" dataDxfId="419" dataCellStyle="Énfasis2"/>
    <tableColumn id="5" xr3:uid="{A6216508-75E6-440A-A019-8E100BD7FD44}" name="PRECIO UNITARIO ESTIMADO" dataDxfId="418"/>
    <tableColumn id="6" xr3:uid="{C3040091-9A2D-4926-8438-53DF24F9434B}" name="MONTO TOTAL ESTIMADO" dataDxfId="41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522ED4B-D0F3-4B93-A215-BDBA34C2655B}" name="Table4345960" displayName="Table4345960" ref="A126:F131" totalsRowShown="0" headerRowDxfId="416" dataDxfId="414" headerRowBorderDxfId="415" tableBorderDxfId="413">
  <tableColumns count="6">
    <tableColumn id="1" xr3:uid="{063BB680-F14E-410E-BE4C-8B2B094AE8E2}" name="CÓDIGO CATÁLOGO" dataDxfId="412" dataCellStyle="Énfasis2"/>
    <tableColumn id="2" xr3:uid="{B34EE511-A7B0-427A-A1D1-AAC06AE8B95F}" name="ARTÍCULO" dataDxfId="411"/>
    <tableColumn id="7" xr3:uid="{2697F8EF-3CE7-4297-8D64-D88E84553C97}" name="UNIDAD DE MEDIDA" dataDxfId="410"/>
    <tableColumn id="4" xr3:uid="{A6311F87-54DD-4533-9FD4-B37B8ADFB6A4}" name="CANTIDAD TOTAL ESTIMADA" dataDxfId="409" dataCellStyle="Énfasis2"/>
    <tableColumn id="5" xr3:uid="{A6B3AAB4-68BF-400C-923F-A75A2BA77DD9}" name="PRECIO UNITARIO ESTIMADO" dataDxfId="408"/>
    <tableColumn id="6" xr3:uid="{31FB4D36-1B2D-441B-A589-74619577EC1C}" name="MONTO TOTAL ESTIMADO" dataDxfId="40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4F2811C-9515-415A-A55A-345FF532BE2A}" name="Table41065" displayName="Table41065" ref="A141:F143" totalsRowShown="0" headerRowDxfId="406" dataDxfId="405">
  <tableColumns count="6">
    <tableColumn id="1" xr3:uid="{6E597B81-B903-45F9-B9B2-1FE65C155D81}" name="CÓDIGO CATÁLOGO" dataDxfId="404"/>
    <tableColumn id="2" xr3:uid="{B362F505-D114-4A76-811A-69C959C3B7C5}" name="ARTÍCULO" dataDxfId="403"/>
    <tableColumn id="7" xr3:uid="{C2B856F9-8432-40B5-9BCB-1CCB34207418}" name="UNIDAD DE MEDIDA" dataDxfId="402"/>
    <tableColumn id="4" xr3:uid="{34D6C088-AD14-4444-922C-D0F92DE41779}" name="CANTIDAD TOTAL ESTIMADA" dataDxfId="401" dataCellStyle="Énfasis2"/>
    <tableColumn id="5" xr3:uid="{FA72F50E-B59D-422B-940C-FFC9E1127738}" name="PRECIO UNITARIO ESTIMADO" dataDxfId="400"/>
    <tableColumn id="6" xr3:uid="{F4BAA4A9-DDB2-4DF3-821D-6FDFA43FCBED}" name="MONTO TOTAL ESTIMADO" dataDxfId="399">
      <calculatedColumnFormula>Table41065[[#This Row],[CANTIDAD TOTAL ESTIMADA]]*Table41065[[#This Row],[PRECIO UNITARIO ESTIMADO]]</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9" Type="http://schemas.openxmlformats.org/officeDocument/2006/relationships/table" Target="../tables/table36.xml"/><Relationship Id="rId21" Type="http://schemas.openxmlformats.org/officeDocument/2006/relationships/table" Target="../tables/table18.xml"/><Relationship Id="rId34" Type="http://schemas.openxmlformats.org/officeDocument/2006/relationships/table" Target="../tables/table31.xml"/><Relationship Id="rId42" Type="http://schemas.openxmlformats.org/officeDocument/2006/relationships/table" Target="../tables/table39.xml"/><Relationship Id="rId47" Type="http://schemas.openxmlformats.org/officeDocument/2006/relationships/table" Target="../tables/table44.xml"/><Relationship Id="rId50" Type="http://schemas.openxmlformats.org/officeDocument/2006/relationships/table" Target="../tables/table47.xml"/><Relationship Id="rId55" Type="http://schemas.openxmlformats.org/officeDocument/2006/relationships/table" Target="../tables/table52.xml"/><Relationship Id="rId63" Type="http://schemas.openxmlformats.org/officeDocument/2006/relationships/comments" Target="../comments1.xml"/><Relationship Id="rId7" Type="http://schemas.openxmlformats.org/officeDocument/2006/relationships/table" Target="../tables/table4.xml"/><Relationship Id="rId2" Type="http://schemas.openxmlformats.org/officeDocument/2006/relationships/drawing" Target="../drawings/drawing1.xml"/><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41" Type="http://schemas.openxmlformats.org/officeDocument/2006/relationships/table" Target="../tables/table38.xml"/><Relationship Id="rId54" Type="http://schemas.openxmlformats.org/officeDocument/2006/relationships/table" Target="../tables/table51.xml"/><Relationship Id="rId62" Type="http://schemas.openxmlformats.org/officeDocument/2006/relationships/table" Target="../tables/table59.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37" Type="http://schemas.openxmlformats.org/officeDocument/2006/relationships/table" Target="../tables/table34.xml"/><Relationship Id="rId40" Type="http://schemas.openxmlformats.org/officeDocument/2006/relationships/table" Target="../tables/table37.xml"/><Relationship Id="rId45" Type="http://schemas.openxmlformats.org/officeDocument/2006/relationships/table" Target="../tables/table42.xml"/><Relationship Id="rId53" Type="http://schemas.openxmlformats.org/officeDocument/2006/relationships/table" Target="../tables/table50.xml"/><Relationship Id="rId58" Type="http://schemas.openxmlformats.org/officeDocument/2006/relationships/table" Target="../tables/table55.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49" Type="http://schemas.openxmlformats.org/officeDocument/2006/relationships/table" Target="../tables/table46.xml"/><Relationship Id="rId57" Type="http://schemas.openxmlformats.org/officeDocument/2006/relationships/table" Target="../tables/table54.xml"/><Relationship Id="rId61" Type="http://schemas.openxmlformats.org/officeDocument/2006/relationships/table" Target="../tables/table58.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4" Type="http://schemas.openxmlformats.org/officeDocument/2006/relationships/table" Target="../tables/table41.xml"/><Relationship Id="rId52" Type="http://schemas.openxmlformats.org/officeDocument/2006/relationships/table" Target="../tables/table49.xml"/><Relationship Id="rId60" Type="http://schemas.openxmlformats.org/officeDocument/2006/relationships/table" Target="../tables/table5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 Id="rId43" Type="http://schemas.openxmlformats.org/officeDocument/2006/relationships/table" Target="../tables/table40.xml"/><Relationship Id="rId48" Type="http://schemas.openxmlformats.org/officeDocument/2006/relationships/table" Target="../tables/table45.xml"/><Relationship Id="rId56" Type="http://schemas.openxmlformats.org/officeDocument/2006/relationships/table" Target="../tables/table53.xml"/><Relationship Id="rId8" Type="http://schemas.openxmlformats.org/officeDocument/2006/relationships/table" Target="../tables/table5.xml"/><Relationship Id="rId51" Type="http://schemas.openxmlformats.org/officeDocument/2006/relationships/table" Target="../tables/table48.xml"/><Relationship Id="rId3" Type="http://schemas.openxmlformats.org/officeDocument/2006/relationships/vmlDrawing" Target="../drawings/vmlDrawing1.v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 Id="rId46" Type="http://schemas.openxmlformats.org/officeDocument/2006/relationships/table" Target="../tables/table43.xml"/><Relationship Id="rId59" Type="http://schemas.openxmlformats.org/officeDocument/2006/relationships/table" Target="../tables/table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8DE29-76D2-407A-BB25-057CAA3B35C3}">
  <dimension ref="A2:I1203"/>
  <sheetViews>
    <sheetView tabSelected="1" topLeftCell="A26" zoomScaleNormal="100" workbookViewId="0">
      <selection activeCell="F1203" sqref="A1:F1203"/>
    </sheetView>
  </sheetViews>
  <sheetFormatPr baseColWidth="10" defaultRowHeight="15" x14ac:dyDescent="0.25"/>
  <cols>
    <col min="1" max="1" width="31.5703125" customWidth="1"/>
    <col min="2" max="2" width="42.42578125" customWidth="1"/>
    <col min="3" max="3" width="14.140625" customWidth="1"/>
    <col min="4" max="4" width="18.5703125" customWidth="1"/>
    <col min="5" max="5" width="34" customWidth="1"/>
    <col min="6" max="6" width="27.140625" customWidth="1"/>
    <col min="7" max="7" width="31.5703125" customWidth="1"/>
  </cols>
  <sheetData>
    <row r="2" spans="1:6" ht="15.75" thickBot="1" x14ac:dyDescent="0.3"/>
    <row r="3" spans="1:6" ht="17.25" thickTop="1" x14ac:dyDescent="0.25">
      <c r="A3" s="136"/>
      <c r="B3" s="4"/>
      <c r="C3" s="5"/>
      <c r="D3" s="5"/>
      <c r="E3" s="6"/>
      <c r="F3" s="4"/>
    </row>
    <row r="4" spans="1:6" ht="16.5" x14ac:dyDescent="0.25">
      <c r="A4" s="136"/>
      <c r="B4" s="137" t="s">
        <v>0</v>
      </c>
      <c r="C4" s="137"/>
      <c r="D4" s="137"/>
      <c r="E4" s="137"/>
      <c r="F4" s="7"/>
    </row>
    <row r="5" spans="1:6" ht="16.5" x14ac:dyDescent="0.25">
      <c r="A5" s="136"/>
      <c r="B5" s="138" t="str">
        <f>"AÑO "&amp;E13</f>
        <v>AÑO 2023</v>
      </c>
      <c r="C5" s="138"/>
      <c r="D5" s="138"/>
      <c r="E5" s="138"/>
      <c r="F5" s="8"/>
    </row>
    <row r="6" spans="1:6" ht="16.5" x14ac:dyDescent="0.25">
      <c r="A6" s="136"/>
      <c r="B6" s="4"/>
      <c r="C6" s="4"/>
      <c r="D6" s="4"/>
      <c r="E6" s="9"/>
      <c r="F6" s="4"/>
    </row>
    <row r="7" spans="1:6" ht="17.25" thickBot="1" x14ac:dyDescent="0.3">
      <c r="A7" s="10"/>
      <c r="B7" s="10"/>
      <c r="C7" s="11"/>
      <c r="D7" s="11"/>
      <c r="E7" s="11"/>
      <c r="F7" s="11"/>
    </row>
    <row r="8" spans="1:6" ht="17.25" thickBot="1" x14ac:dyDescent="0.3">
      <c r="A8" s="12" t="s">
        <v>1</v>
      </c>
      <c r="B8" s="13"/>
      <c r="C8" s="14"/>
      <c r="D8" s="15" t="s">
        <v>2</v>
      </c>
      <c r="E8" s="139" t="s">
        <v>3</v>
      </c>
      <c r="F8" s="140"/>
    </row>
    <row r="9" spans="1:6" ht="17.25" thickBot="1" x14ac:dyDescent="0.3">
      <c r="A9" s="16" t="s">
        <v>4</v>
      </c>
      <c r="B9" s="13"/>
      <c r="C9" s="13"/>
      <c r="D9" s="15" t="s">
        <v>5</v>
      </c>
      <c r="E9" s="139" t="s">
        <v>6</v>
      </c>
      <c r="F9" s="140"/>
    </row>
    <row r="10" spans="1:6" ht="17.25" thickBot="1" x14ac:dyDescent="0.3">
      <c r="A10" s="13"/>
      <c r="B10" s="13"/>
      <c r="C10" s="13"/>
      <c r="D10" s="15" t="s">
        <v>7</v>
      </c>
      <c r="E10" s="139" t="s">
        <v>8</v>
      </c>
      <c r="F10" s="140"/>
    </row>
    <row r="11" spans="1:6" ht="37.5" customHeight="1" thickBot="1" x14ac:dyDescent="0.3">
      <c r="A11" s="17" t="s">
        <v>9</v>
      </c>
      <c r="B11" s="141">
        <v>73</v>
      </c>
      <c r="C11" s="13"/>
      <c r="D11" s="15" t="s">
        <v>10</v>
      </c>
      <c r="E11" s="139" t="s">
        <v>327</v>
      </c>
      <c r="F11" s="140"/>
    </row>
    <row r="12" spans="1:6" ht="33.75" thickBot="1" x14ac:dyDescent="0.3">
      <c r="A12" s="18" t="s">
        <v>11</v>
      </c>
      <c r="B12" s="142">
        <f ca="1">SUM(F27+F42+F57+F73+F88+F102+F116+F131+F144+F156+F168+F181+FF1009193+F215+F235+F255+F275+F303+F331+F360+F390+F425+F462+F498+F534+F564+F594+F608+F622+F635+F652+F664+F676+F693+F709+F722+F734+F747+F770+F782+F795+F806+F818+F830+F842+F854+F867+F882+F906+F921+F933+F949+F961+F972+F983+F996+F1008+F1020+F1031+F1043+F1055+F1070+F1083+F1095+F1107+F1119+F1131+F1142+F1154+F1166+F1178+F1190+F1203)</f>
        <v>18973442.800000001</v>
      </c>
      <c r="C12" s="13"/>
      <c r="D12" s="15" t="s">
        <v>12</v>
      </c>
      <c r="E12" s="139" t="s">
        <v>13</v>
      </c>
      <c r="F12" s="140"/>
    </row>
    <row r="13" spans="1:6" ht="17.25" thickBot="1" x14ac:dyDescent="0.3">
      <c r="A13" s="13"/>
      <c r="B13" s="13"/>
      <c r="C13" s="13"/>
      <c r="D13" s="15" t="s">
        <v>14</v>
      </c>
      <c r="E13" s="130">
        <v>2023</v>
      </c>
      <c r="F13" s="131"/>
    </row>
    <row r="14" spans="1:6" ht="17.25" thickBot="1" x14ac:dyDescent="0.3">
      <c r="A14" s="19"/>
      <c r="B14" s="19"/>
      <c r="C14" s="19"/>
      <c r="D14" s="15" t="s">
        <v>15</v>
      </c>
      <c r="E14" s="132"/>
      <c r="F14" s="133"/>
    </row>
    <row r="15" spans="1:6" ht="17.25" thickBot="1" x14ac:dyDescent="0.3">
      <c r="A15" s="1"/>
      <c r="B15" s="1"/>
      <c r="C15" s="1"/>
      <c r="D15" s="1"/>
      <c r="E15" s="1"/>
      <c r="F15" s="1"/>
    </row>
    <row r="16" spans="1:6" ht="15.75" thickBot="1" x14ac:dyDescent="0.3">
      <c r="A16" s="126" t="s">
        <v>16</v>
      </c>
      <c r="B16" s="20" t="s">
        <v>17</v>
      </c>
      <c r="C16" s="21">
        <v>44959</v>
      </c>
      <c r="D16" s="126" t="s">
        <v>18</v>
      </c>
      <c r="E16" s="22" t="s">
        <v>19</v>
      </c>
      <c r="F16" s="23" t="s">
        <v>20</v>
      </c>
    </row>
    <row r="17" spans="1:6" ht="15.75" thickBot="1" x14ac:dyDescent="0.3">
      <c r="A17" s="127"/>
      <c r="B17" s="20" t="s">
        <v>21</v>
      </c>
      <c r="C17" s="20">
        <v>1</v>
      </c>
      <c r="D17" s="127"/>
      <c r="E17" s="22" t="s">
        <v>22</v>
      </c>
      <c r="F17" s="23" t="s">
        <v>23</v>
      </c>
    </row>
    <row r="18" spans="1:6" ht="15.75" thickBot="1" x14ac:dyDescent="0.3">
      <c r="A18" s="127"/>
      <c r="B18" s="20" t="s">
        <v>24</v>
      </c>
      <c r="C18" s="21">
        <v>44980</v>
      </c>
      <c r="D18" s="127"/>
      <c r="E18" s="22" t="s">
        <v>25</v>
      </c>
      <c r="F18" s="23"/>
    </row>
    <row r="19" spans="1:6" ht="15.75" thickBot="1" x14ac:dyDescent="0.3">
      <c r="A19" s="127"/>
      <c r="B19" s="20" t="s">
        <v>21</v>
      </c>
      <c r="C19" s="20">
        <v>1</v>
      </c>
      <c r="D19" s="127"/>
      <c r="E19" s="22" t="s">
        <v>26</v>
      </c>
      <c r="F19" s="23"/>
    </row>
    <row r="20" spans="1:6" ht="17.25" thickBot="1" x14ac:dyDescent="0.3">
      <c r="A20" s="1"/>
      <c r="B20" s="1"/>
      <c r="C20" s="1"/>
      <c r="D20" s="1"/>
      <c r="E20" s="1"/>
      <c r="F20" s="1"/>
    </row>
    <row r="21" spans="1:6" ht="15.75" thickBot="1" x14ac:dyDescent="0.3">
      <c r="A21" s="24" t="s">
        <v>27</v>
      </c>
      <c r="B21" s="24" t="s">
        <v>28</v>
      </c>
      <c r="C21" s="24" t="s">
        <v>29</v>
      </c>
      <c r="D21" s="24" t="s">
        <v>30</v>
      </c>
      <c r="E21" s="24" t="s">
        <v>31</v>
      </c>
      <c r="F21" s="24" t="s">
        <v>32</v>
      </c>
    </row>
    <row r="22" spans="1:6" x14ac:dyDescent="0.25">
      <c r="A22" s="25">
        <v>72101511</v>
      </c>
      <c r="B22" s="26" t="s">
        <v>33</v>
      </c>
      <c r="C22" s="26" t="s">
        <v>34</v>
      </c>
      <c r="D22" s="25">
        <v>9</v>
      </c>
      <c r="E22" s="27">
        <v>5192</v>
      </c>
      <c r="F22" s="28">
        <f ca="1">INDIRECT(ADDRESS(ROW(),COLUMN()-2,4))*INDIRECT(ADDRESS(ROW(),COLUMN()-1,4))</f>
        <v>46728</v>
      </c>
    </row>
    <row r="23" spans="1:6" x14ac:dyDescent="0.25">
      <c r="A23" s="25">
        <v>72101511</v>
      </c>
      <c r="B23" s="26" t="s">
        <v>35</v>
      </c>
      <c r="C23" s="26" t="s">
        <v>34</v>
      </c>
      <c r="D23" s="25">
        <v>1</v>
      </c>
      <c r="E23" s="27">
        <v>5192</v>
      </c>
      <c r="F23" s="28">
        <f ca="1">INDIRECT(ADDRESS(ROW(),COLUMN()-2,4))*INDIRECT(ADDRESS(ROW(),COLUMN()-1,4))</f>
        <v>5192</v>
      </c>
    </row>
    <row r="24" spans="1:6" x14ac:dyDescent="0.25">
      <c r="A24" s="25" t="s">
        <v>36</v>
      </c>
      <c r="B24" s="26" t="s">
        <v>37</v>
      </c>
      <c r="C24" s="26" t="s">
        <v>34</v>
      </c>
      <c r="D24" s="25">
        <v>4</v>
      </c>
      <c r="E24" s="27">
        <v>3850</v>
      </c>
      <c r="F24" s="28">
        <f ca="1">INDIRECT(ADDRESS(ROW(),COLUMN()-2,4))*INDIRECT(ADDRESS(ROW(),COLUMN()-1,4))</f>
        <v>15400</v>
      </c>
    </row>
    <row r="25" spans="1:6" x14ac:dyDescent="0.25">
      <c r="A25" s="25" t="s">
        <v>36</v>
      </c>
      <c r="B25" s="26" t="s">
        <v>55</v>
      </c>
      <c r="C25" s="26" t="s">
        <v>38</v>
      </c>
      <c r="D25" s="25">
        <v>1</v>
      </c>
      <c r="E25" s="27">
        <v>3850</v>
      </c>
      <c r="F25" s="28">
        <f ca="1">INDIRECT(ADDRESS(ROW(),COLUMN()-2,4))*INDIRECT(ADDRESS(ROW(),COLUMN()-1,4))</f>
        <v>3850</v>
      </c>
    </row>
    <row r="26" spans="1:6" x14ac:dyDescent="0.25">
      <c r="A26" s="25" t="s">
        <v>36</v>
      </c>
      <c r="B26" s="26" t="s">
        <v>39</v>
      </c>
      <c r="C26" s="26" t="s">
        <v>34</v>
      </c>
      <c r="D26" s="25">
        <v>1</v>
      </c>
      <c r="E26" s="27">
        <v>3850</v>
      </c>
      <c r="F26" s="28">
        <f ca="1">INDIRECT(ADDRESS(ROW(),COLUMN()-2,4))*INDIRECT(ADDRESS(ROW(),COLUMN()-1,4))</f>
        <v>3850</v>
      </c>
    </row>
    <row r="27" spans="1:6" ht="16.5" x14ac:dyDescent="0.25">
      <c r="A27" s="1"/>
      <c r="B27" s="1"/>
      <c r="C27" s="1"/>
      <c r="D27" s="1"/>
      <c r="E27" s="29" t="s">
        <v>40</v>
      </c>
      <c r="F27" s="30">
        <f ca="1">SUM(Table433[MONTO TOTAL ESTIMADO])</f>
        <v>75020</v>
      </c>
    </row>
    <row r="28" spans="1:6" ht="15.75" thickBot="1" x14ac:dyDescent="0.3"/>
    <row r="29" spans="1:6" ht="45.75" thickBot="1" x14ac:dyDescent="0.3">
      <c r="A29" s="31" t="s">
        <v>41</v>
      </c>
      <c r="B29" s="31" t="s">
        <v>42</v>
      </c>
      <c r="C29" s="31" t="s">
        <v>43</v>
      </c>
      <c r="D29" s="31" t="s">
        <v>44</v>
      </c>
      <c r="E29" s="31" t="s">
        <v>45</v>
      </c>
      <c r="F29" s="31" t="s">
        <v>46</v>
      </c>
    </row>
    <row r="30" spans="1:6" ht="30.75" thickBot="1" x14ac:dyDescent="0.3">
      <c r="A30" s="32" t="s">
        <v>47</v>
      </c>
      <c r="B30" s="33" t="s">
        <v>48</v>
      </c>
      <c r="C30" s="33" t="s">
        <v>49</v>
      </c>
      <c r="D30" s="32" t="s">
        <v>50</v>
      </c>
      <c r="E30" s="33" t="s">
        <v>51</v>
      </c>
      <c r="F30" s="33"/>
    </row>
    <row r="31" spans="1:6" ht="15.75" thickBot="1" x14ac:dyDescent="0.3">
      <c r="A31" s="128" t="s">
        <v>16</v>
      </c>
      <c r="B31" s="34" t="s">
        <v>17</v>
      </c>
      <c r="C31" s="34" t="s">
        <v>52</v>
      </c>
      <c r="D31" s="128" t="s">
        <v>18</v>
      </c>
      <c r="E31" s="35" t="s">
        <v>19</v>
      </c>
      <c r="F31" s="36" t="s">
        <v>20</v>
      </c>
    </row>
    <row r="32" spans="1:6" ht="15.75" thickBot="1" x14ac:dyDescent="0.3">
      <c r="A32" s="129"/>
      <c r="B32" s="34" t="s">
        <v>21</v>
      </c>
      <c r="C32" s="34">
        <v>2</v>
      </c>
      <c r="D32" s="129"/>
      <c r="E32" s="35" t="s">
        <v>22</v>
      </c>
      <c r="F32" s="36" t="s">
        <v>23</v>
      </c>
    </row>
    <row r="33" spans="1:6" ht="15.75" thickBot="1" x14ac:dyDescent="0.3">
      <c r="A33" s="129"/>
      <c r="B33" s="34" t="s">
        <v>24</v>
      </c>
      <c r="C33" s="34" t="s">
        <v>53</v>
      </c>
      <c r="D33" s="129"/>
      <c r="E33" s="35" t="s">
        <v>25</v>
      </c>
      <c r="F33" s="36"/>
    </row>
    <row r="34" spans="1:6" ht="15.75" thickBot="1" x14ac:dyDescent="0.3">
      <c r="A34" s="129"/>
      <c r="B34" s="34" t="s">
        <v>21</v>
      </c>
      <c r="C34" s="34">
        <v>2</v>
      </c>
      <c r="D34" s="129"/>
      <c r="E34" s="35" t="s">
        <v>26</v>
      </c>
      <c r="F34" s="36"/>
    </row>
    <row r="35" spans="1:6" ht="17.25" thickBot="1" x14ac:dyDescent="0.3">
      <c r="A35" s="1"/>
      <c r="B35" s="1"/>
      <c r="C35" s="1"/>
      <c r="D35" s="1"/>
      <c r="E35" s="1"/>
      <c r="F35" s="1"/>
    </row>
    <row r="36" spans="1:6" ht="15.75" thickBot="1" x14ac:dyDescent="0.3">
      <c r="A36" s="24" t="s">
        <v>27</v>
      </c>
      <c r="B36" s="24" t="s">
        <v>28</v>
      </c>
      <c r="C36" s="24" t="s">
        <v>29</v>
      </c>
      <c r="D36" s="24" t="s">
        <v>30</v>
      </c>
      <c r="E36" s="24" t="s">
        <v>31</v>
      </c>
      <c r="F36" s="24" t="s">
        <v>32</v>
      </c>
    </row>
    <row r="37" spans="1:6" x14ac:dyDescent="0.25">
      <c r="A37" s="25" t="s">
        <v>36</v>
      </c>
      <c r="B37" s="26" t="s">
        <v>35</v>
      </c>
      <c r="C37" s="26" t="s">
        <v>34</v>
      </c>
      <c r="D37" s="25">
        <v>9</v>
      </c>
      <c r="E37" s="27">
        <v>5192</v>
      </c>
      <c r="F37" s="28">
        <f ca="1">INDIRECT(ADDRESS(ROW(),COLUMN()-2,4))*INDIRECT(ADDRESS(ROW(),COLUMN()-1,4))</f>
        <v>46728</v>
      </c>
    </row>
    <row r="38" spans="1:6" x14ac:dyDescent="0.25">
      <c r="A38" s="25" t="s">
        <v>36</v>
      </c>
      <c r="B38" s="26" t="s">
        <v>37</v>
      </c>
      <c r="C38" s="26" t="s">
        <v>34</v>
      </c>
      <c r="D38" s="25">
        <v>4</v>
      </c>
      <c r="E38" s="27">
        <v>3850</v>
      </c>
      <c r="F38" s="28">
        <f ca="1">INDIRECT(ADDRESS(ROW(),COLUMN()-2,4))*INDIRECT(ADDRESS(ROW(),COLUMN()-1,4))</f>
        <v>15400</v>
      </c>
    </row>
    <row r="39" spans="1:6" x14ac:dyDescent="0.25">
      <c r="A39" s="25" t="s">
        <v>54</v>
      </c>
      <c r="B39" s="26" t="s">
        <v>33</v>
      </c>
      <c r="C39" s="26" t="s">
        <v>34</v>
      </c>
      <c r="D39" s="25">
        <v>1</v>
      </c>
      <c r="E39" s="27">
        <v>5192</v>
      </c>
      <c r="F39" s="28">
        <f ca="1">INDIRECT(ADDRESS(ROW(),COLUMN()-2,4))*INDIRECT(ADDRESS(ROW(),COLUMN()-1,4))</f>
        <v>5192</v>
      </c>
    </row>
    <row r="40" spans="1:6" x14ac:dyDescent="0.25">
      <c r="A40" s="25" t="s">
        <v>36</v>
      </c>
      <c r="B40" s="26" t="s">
        <v>55</v>
      </c>
      <c r="C40" s="26" t="s">
        <v>38</v>
      </c>
      <c r="D40" s="25">
        <v>1</v>
      </c>
      <c r="E40" s="27">
        <v>3850</v>
      </c>
      <c r="F40" s="28">
        <f ca="1">INDIRECT(ADDRESS(ROW(),COLUMN()-2,4))*INDIRECT(ADDRESS(ROW(),COLUMN()-1,4))</f>
        <v>3850</v>
      </c>
    </row>
    <row r="41" spans="1:6" x14ac:dyDescent="0.25">
      <c r="A41" s="25" t="s">
        <v>36</v>
      </c>
      <c r="B41" s="26" t="s">
        <v>39</v>
      </c>
      <c r="C41" s="26" t="s">
        <v>34</v>
      </c>
      <c r="D41" s="25">
        <v>1</v>
      </c>
      <c r="E41" s="27">
        <v>3850</v>
      </c>
      <c r="F41" s="28">
        <f ca="1">INDIRECT(ADDRESS(ROW(),COLUMN()-2,4))*INDIRECT(ADDRESS(ROW(),COLUMN()-1,4))</f>
        <v>3850</v>
      </c>
    </row>
    <row r="42" spans="1:6" ht="16.5" x14ac:dyDescent="0.25">
      <c r="A42" s="1"/>
      <c r="B42" s="1"/>
      <c r="C42" s="1"/>
      <c r="D42" s="1"/>
      <c r="E42" s="29" t="s">
        <v>40</v>
      </c>
      <c r="F42" s="30">
        <f ca="1">SUM(Table4334[MONTO TOTAL ESTIMADO])</f>
        <v>75020</v>
      </c>
    </row>
    <row r="43" spans="1:6" ht="15.75" thickBot="1" x14ac:dyDescent="0.3"/>
    <row r="44" spans="1:6" ht="45.75" thickBot="1" x14ac:dyDescent="0.3">
      <c r="A44" s="31" t="s">
        <v>41</v>
      </c>
      <c r="B44" s="31" t="s">
        <v>42</v>
      </c>
      <c r="C44" s="31" t="s">
        <v>43</v>
      </c>
      <c r="D44" s="31" t="s">
        <v>44</v>
      </c>
      <c r="E44" s="31" t="s">
        <v>45</v>
      </c>
      <c r="F44" s="31" t="s">
        <v>46</v>
      </c>
    </row>
    <row r="45" spans="1:6" ht="30.75" thickBot="1" x14ac:dyDescent="0.3">
      <c r="A45" s="32" t="s">
        <v>56</v>
      </c>
      <c r="B45" s="33" t="s">
        <v>48</v>
      </c>
      <c r="C45" s="33" t="s">
        <v>49</v>
      </c>
      <c r="D45" s="32" t="s">
        <v>50</v>
      </c>
      <c r="E45" s="33" t="s">
        <v>51</v>
      </c>
      <c r="F45" s="33"/>
    </row>
    <row r="46" spans="1:6" ht="15.75" thickBot="1" x14ac:dyDescent="0.3">
      <c r="A46" s="128" t="s">
        <v>16</v>
      </c>
      <c r="B46" s="34" t="s">
        <v>17</v>
      </c>
      <c r="C46" s="34" t="s">
        <v>57</v>
      </c>
      <c r="D46" s="128" t="s">
        <v>18</v>
      </c>
      <c r="E46" s="35" t="s">
        <v>19</v>
      </c>
      <c r="F46" s="36" t="s">
        <v>20</v>
      </c>
    </row>
    <row r="47" spans="1:6" ht="15.75" thickBot="1" x14ac:dyDescent="0.3">
      <c r="A47" s="129"/>
      <c r="B47" s="34" t="s">
        <v>21</v>
      </c>
      <c r="C47" s="34">
        <v>3</v>
      </c>
      <c r="D47" s="129"/>
      <c r="E47" s="35" t="s">
        <v>22</v>
      </c>
      <c r="F47" s="36" t="s">
        <v>23</v>
      </c>
    </row>
    <row r="48" spans="1:6" ht="15.75" thickBot="1" x14ac:dyDescent="0.3">
      <c r="A48" s="129"/>
      <c r="B48" s="34" t="s">
        <v>24</v>
      </c>
      <c r="C48" s="34" t="s">
        <v>58</v>
      </c>
      <c r="D48" s="129"/>
      <c r="E48" s="35" t="s">
        <v>25</v>
      </c>
      <c r="F48" s="36"/>
    </row>
    <row r="49" spans="1:6" ht="15.75" thickBot="1" x14ac:dyDescent="0.3">
      <c r="A49" s="129"/>
      <c r="B49" s="34" t="s">
        <v>21</v>
      </c>
      <c r="C49" s="34">
        <v>3</v>
      </c>
      <c r="D49" s="129"/>
      <c r="E49" s="35" t="s">
        <v>26</v>
      </c>
      <c r="F49" s="36"/>
    </row>
    <row r="50" spans="1:6" ht="17.25" thickBot="1" x14ac:dyDescent="0.3">
      <c r="A50" s="1"/>
      <c r="B50" s="1"/>
      <c r="C50" s="1"/>
      <c r="D50" s="1"/>
      <c r="E50" s="1"/>
      <c r="F50" s="1"/>
    </row>
    <row r="51" spans="1:6" ht="15.75" thickBot="1" x14ac:dyDescent="0.3">
      <c r="A51" s="24" t="s">
        <v>27</v>
      </c>
      <c r="B51" s="24" t="s">
        <v>28</v>
      </c>
      <c r="C51" s="24" t="s">
        <v>29</v>
      </c>
      <c r="D51" s="24" t="s">
        <v>30</v>
      </c>
      <c r="E51" s="24" t="s">
        <v>31</v>
      </c>
      <c r="F51" s="24" t="s">
        <v>32</v>
      </c>
    </row>
    <row r="52" spans="1:6" x14ac:dyDescent="0.25">
      <c r="A52" s="25" t="s">
        <v>36</v>
      </c>
      <c r="B52" s="26" t="s">
        <v>35</v>
      </c>
      <c r="C52" s="26" t="s">
        <v>34</v>
      </c>
      <c r="D52" s="25">
        <v>9</v>
      </c>
      <c r="E52" s="27">
        <v>5192</v>
      </c>
      <c r="F52" s="28">
        <f ca="1">INDIRECT(ADDRESS(ROW(),COLUMN()-2,4))*INDIRECT(ADDRESS(ROW(),COLUMN()-1,4))</f>
        <v>46728</v>
      </c>
    </row>
    <row r="53" spans="1:6" x14ac:dyDescent="0.25">
      <c r="A53" s="25" t="s">
        <v>54</v>
      </c>
      <c r="B53" s="26" t="s">
        <v>33</v>
      </c>
      <c r="C53" s="26" t="s">
        <v>34</v>
      </c>
      <c r="D53" s="25">
        <v>1</v>
      </c>
      <c r="E53" s="27">
        <v>5192</v>
      </c>
      <c r="F53" s="28">
        <f ca="1">INDIRECT(ADDRESS(ROW(),COLUMN()-2,4))*INDIRECT(ADDRESS(ROW(),COLUMN()-1,4))</f>
        <v>5192</v>
      </c>
    </row>
    <row r="54" spans="1:6" x14ac:dyDescent="0.25">
      <c r="A54" s="25" t="s">
        <v>36</v>
      </c>
      <c r="B54" s="26" t="s">
        <v>37</v>
      </c>
      <c r="C54" s="26" t="s">
        <v>34</v>
      </c>
      <c r="D54" s="25">
        <v>4</v>
      </c>
      <c r="E54" s="27">
        <v>3850</v>
      </c>
      <c r="F54" s="28">
        <f ca="1">INDIRECT(ADDRESS(ROW(),COLUMN()-2,4))*INDIRECT(ADDRESS(ROW(),COLUMN()-1,4))</f>
        <v>15400</v>
      </c>
    </row>
    <row r="55" spans="1:6" x14ac:dyDescent="0.25">
      <c r="A55" s="25" t="s">
        <v>36</v>
      </c>
      <c r="B55" s="26" t="s">
        <v>55</v>
      </c>
      <c r="C55" s="26" t="s">
        <v>38</v>
      </c>
      <c r="D55" s="25">
        <v>1</v>
      </c>
      <c r="E55" s="27">
        <v>3850</v>
      </c>
      <c r="F55" s="28">
        <f ca="1">INDIRECT(ADDRESS(ROW(),COLUMN()-2,4))*INDIRECT(ADDRESS(ROW(),COLUMN()-1,4))</f>
        <v>3850</v>
      </c>
    </row>
    <row r="56" spans="1:6" x14ac:dyDescent="0.25">
      <c r="A56" s="25" t="s">
        <v>36</v>
      </c>
      <c r="B56" s="26" t="s">
        <v>39</v>
      </c>
      <c r="C56" s="26" t="s">
        <v>34</v>
      </c>
      <c r="D56" s="25">
        <v>1</v>
      </c>
      <c r="E56" s="27">
        <v>3850</v>
      </c>
      <c r="F56" s="28">
        <f ca="1">INDIRECT(ADDRESS(ROW(),COLUMN()-2,4))*INDIRECT(ADDRESS(ROW(),COLUMN()-1,4))</f>
        <v>3850</v>
      </c>
    </row>
    <row r="57" spans="1:6" ht="16.5" x14ac:dyDescent="0.25">
      <c r="A57" s="1"/>
      <c r="B57" s="1"/>
      <c r="C57" s="1"/>
      <c r="D57" s="1"/>
      <c r="E57" s="29" t="s">
        <v>40</v>
      </c>
      <c r="F57" s="30">
        <f ca="1">SUBTOTAL(109,Table43435[MONTO TOTAL ESTIMADO])</f>
        <v>75020</v>
      </c>
    </row>
    <row r="59" spans="1:6" ht="15.75" thickBot="1" x14ac:dyDescent="0.3"/>
    <row r="60" spans="1:6" ht="45.75" thickBot="1" x14ac:dyDescent="0.3">
      <c r="A60" s="31" t="s">
        <v>41</v>
      </c>
      <c r="B60" s="31" t="s">
        <v>42</v>
      </c>
      <c r="C60" s="31" t="s">
        <v>43</v>
      </c>
      <c r="D60" s="31" t="s">
        <v>44</v>
      </c>
      <c r="E60" s="31" t="s">
        <v>45</v>
      </c>
      <c r="F60" s="31" t="s">
        <v>46</v>
      </c>
    </row>
    <row r="61" spans="1:6" ht="30.75" thickBot="1" x14ac:dyDescent="0.3">
      <c r="A61" s="32" t="s">
        <v>59</v>
      </c>
      <c r="B61" s="33" t="s">
        <v>48</v>
      </c>
      <c r="C61" s="33" t="s">
        <v>49</v>
      </c>
      <c r="D61" s="32" t="s">
        <v>50</v>
      </c>
      <c r="E61" s="33" t="s">
        <v>51</v>
      </c>
      <c r="F61" s="33"/>
    </row>
    <row r="62" spans="1:6" ht="15.75" thickBot="1" x14ac:dyDescent="0.3">
      <c r="A62" s="128" t="s">
        <v>16</v>
      </c>
      <c r="B62" s="34" t="s">
        <v>17</v>
      </c>
      <c r="C62" s="34" t="s">
        <v>60</v>
      </c>
      <c r="D62" s="128" t="s">
        <v>18</v>
      </c>
      <c r="E62" s="35" t="s">
        <v>19</v>
      </c>
      <c r="F62" s="36" t="s">
        <v>20</v>
      </c>
    </row>
    <row r="63" spans="1:6" ht="15.75" thickBot="1" x14ac:dyDescent="0.3">
      <c r="A63" s="129"/>
      <c r="B63" s="34" t="s">
        <v>21</v>
      </c>
      <c r="C63" s="34">
        <v>4</v>
      </c>
      <c r="D63" s="129"/>
      <c r="E63" s="35" t="s">
        <v>22</v>
      </c>
      <c r="F63" s="36" t="s">
        <v>23</v>
      </c>
    </row>
    <row r="64" spans="1:6" ht="15.75" thickBot="1" x14ac:dyDescent="0.3">
      <c r="A64" s="129"/>
      <c r="B64" s="34" t="s">
        <v>24</v>
      </c>
      <c r="C64" s="34" t="s">
        <v>61</v>
      </c>
      <c r="D64" s="129"/>
      <c r="E64" s="35" t="s">
        <v>25</v>
      </c>
      <c r="F64" s="36"/>
    </row>
    <row r="65" spans="1:6" ht="15.75" thickBot="1" x14ac:dyDescent="0.3">
      <c r="A65" s="129"/>
      <c r="B65" s="34" t="s">
        <v>21</v>
      </c>
      <c r="C65" s="34">
        <v>4</v>
      </c>
      <c r="D65" s="129"/>
      <c r="E65" s="35" t="s">
        <v>26</v>
      </c>
      <c r="F65" s="36"/>
    </row>
    <row r="66" spans="1:6" ht="17.25" thickBot="1" x14ac:dyDescent="0.3">
      <c r="A66" s="1"/>
      <c r="B66" s="1"/>
      <c r="C66" s="1"/>
      <c r="D66" s="1"/>
      <c r="E66" s="1"/>
      <c r="F66" s="1"/>
    </row>
    <row r="67" spans="1:6" ht="15.75" thickBot="1" x14ac:dyDescent="0.3">
      <c r="A67" s="24" t="s">
        <v>27</v>
      </c>
      <c r="B67" s="24" t="s">
        <v>28</v>
      </c>
      <c r="C67" s="24" t="s">
        <v>29</v>
      </c>
      <c r="D67" s="24" t="s">
        <v>30</v>
      </c>
      <c r="E67" s="24" t="s">
        <v>31</v>
      </c>
      <c r="F67" s="24" t="s">
        <v>32</v>
      </c>
    </row>
    <row r="68" spans="1:6" x14ac:dyDescent="0.25">
      <c r="A68" s="25" t="s">
        <v>36</v>
      </c>
      <c r="B68" s="26" t="s">
        <v>33</v>
      </c>
      <c r="C68" s="26" t="s">
        <v>34</v>
      </c>
      <c r="D68" s="25">
        <v>9</v>
      </c>
      <c r="E68" s="27">
        <v>5192</v>
      </c>
      <c r="F68" s="28">
        <f ca="1">INDIRECT(ADDRESS(ROW(),COLUMN()-2,4))*INDIRECT(ADDRESS(ROW(),COLUMN()-1,4))</f>
        <v>46728</v>
      </c>
    </row>
    <row r="69" spans="1:6" x14ac:dyDescent="0.25">
      <c r="A69" s="25" t="s">
        <v>54</v>
      </c>
      <c r="B69" s="26" t="s">
        <v>35</v>
      </c>
      <c r="C69" s="26" t="s">
        <v>34</v>
      </c>
      <c r="D69" s="25">
        <v>1</v>
      </c>
      <c r="E69" s="27">
        <v>5192</v>
      </c>
      <c r="F69" s="28">
        <f ca="1">INDIRECT(ADDRESS(ROW(),COLUMN()-2,4))*INDIRECT(ADDRESS(ROW(),COLUMN()-1,4))</f>
        <v>5192</v>
      </c>
    </row>
    <row r="70" spans="1:6" x14ac:dyDescent="0.25">
      <c r="A70" s="25" t="s">
        <v>36</v>
      </c>
      <c r="B70" s="26" t="s">
        <v>37</v>
      </c>
      <c r="C70" s="26" t="s">
        <v>34</v>
      </c>
      <c r="D70" s="25">
        <v>4</v>
      </c>
      <c r="E70" s="27">
        <v>3850</v>
      </c>
      <c r="F70" s="28">
        <f ca="1">INDIRECT(ADDRESS(ROW(),COLUMN()-2,4))*INDIRECT(ADDRESS(ROW(),COLUMN()-1,4))</f>
        <v>15400</v>
      </c>
    </row>
    <row r="71" spans="1:6" x14ac:dyDescent="0.25">
      <c r="A71" s="25" t="s">
        <v>36</v>
      </c>
      <c r="B71" s="26" t="s">
        <v>55</v>
      </c>
      <c r="C71" s="26" t="s">
        <v>38</v>
      </c>
      <c r="D71" s="25">
        <v>1</v>
      </c>
      <c r="E71" s="27">
        <v>3850</v>
      </c>
      <c r="F71" s="28">
        <f ca="1">INDIRECT(ADDRESS(ROW(),COLUMN()-2,4))*INDIRECT(ADDRESS(ROW(),COLUMN()-1,4))</f>
        <v>3850</v>
      </c>
    </row>
    <row r="72" spans="1:6" x14ac:dyDescent="0.25">
      <c r="A72" s="25" t="s">
        <v>36</v>
      </c>
      <c r="B72" s="26" t="s">
        <v>39</v>
      </c>
      <c r="C72" s="26" t="s">
        <v>34</v>
      </c>
      <c r="D72" s="25">
        <v>1</v>
      </c>
      <c r="E72" s="27">
        <v>3850</v>
      </c>
      <c r="F72" s="28">
        <f ca="1">INDIRECT(ADDRESS(ROW(),COLUMN()-2,4))*INDIRECT(ADDRESS(ROW(),COLUMN()-1,4))</f>
        <v>3850</v>
      </c>
    </row>
    <row r="73" spans="1:6" ht="16.5" x14ac:dyDescent="0.25">
      <c r="A73" s="1"/>
      <c r="B73" s="1"/>
      <c r="C73" s="1"/>
      <c r="D73" s="1"/>
      <c r="E73" s="29" t="s">
        <v>40</v>
      </c>
      <c r="F73" s="30">
        <f ca="1">SUBTOTAL(109,Table434537[MONTO TOTAL ESTIMADO])</f>
        <v>75020</v>
      </c>
    </row>
    <row r="75" spans="1:6" ht="15.75" thickBot="1" x14ac:dyDescent="0.3"/>
    <row r="76" spans="1:6" ht="45.75" thickBot="1" x14ac:dyDescent="0.3">
      <c r="A76" s="37" t="s">
        <v>41</v>
      </c>
      <c r="B76" s="37" t="s">
        <v>42</v>
      </c>
      <c r="C76" s="37" t="s">
        <v>43</v>
      </c>
      <c r="D76" s="37" t="s">
        <v>44</v>
      </c>
      <c r="E76" s="37" t="s">
        <v>45</v>
      </c>
      <c r="F76" s="37" t="s">
        <v>46</v>
      </c>
    </row>
    <row r="77" spans="1:6" ht="45.75" thickBot="1" x14ac:dyDescent="0.3">
      <c r="A77" s="32" t="s">
        <v>62</v>
      </c>
      <c r="B77" s="33" t="s">
        <v>63</v>
      </c>
      <c r="C77" s="33" t="s">
        <v>64</v>
      </c>
      <c r="D77" s="32" t="s">
        <v>50</v>
      </c>
      <c r="E77" s="33" t="s">
        <v>51</v>
      </c>
      <c r="F77" s="33"/>
    </row>
    <row r="78" spans="1:6" ht="15.75" thickBot="1" x14ac:dyDescent="0.3">
      <c r="A78" s="126" t="s">
        <v>16</v>
      </c>
      <c r="B78" s="20" t="s">
        <v>17</v>
      </c>
      <c r="C78" s="20" t="s">
        <v>65</v>
      </c>
      <c r="D78" s="126" t="s">
        <v>18</v>
      </c>
      <c r="E78" s="22" t="s">
        <v>19</v>
      </c>
      <c r="F78" s="23" t="s">
        <v>20</v>
      </c>
    </row>
    <row r="79" spans="1:6" ht="15.75" thickBot="1" x14ac:dyDescent="0.3">
      <c r="A79" s="127"/>
      <c r="B79" s="20" t="s">
        <v>21</v>
      </c>
      <c r="C79" s="20">
        <v>1</v>
      </c>
      <c r="D79" s="127"/>
      <c r="E79" s="22" t="s">
        <v>22</v>
      </c>
      <c r="F79" s="23" t="s">
        <v>23</v>
      </c>
    </row>
    <row r="80" spans="1:6" ht="15.75" thickBot="1" x14ac:dyDescent="0.3">
      <c r="A80" s="127"/>
      <c r="B80" s="20" t="s">
        <v>24</v>
      </c>
      <c r="C80" s="20" t="s">
        <v>66</v>
      </c>
      <c r="D80" s="127"/>
      <c r="E80" s="22" t="s">
        <v>25</v>
      </c>
      <c r="F80" s="23"/>
    </row>
    <row r="81" spans="1:6" ht="15.75" thickBot="1" x14ac:dyDescent="0.3">
      <c r="A81" s="127"/>
      <c r="B81" s="20" t="s">
        <v>21</v>
      </c>
      <c r="C81" s="20">
        <v>1</v>
      </c>
      <c r="D81" s="127"/>
      <c r="E81" s="22" t="s">
        <v>26</v>
      </c>
      <c r="F81" s="23"/>
    </row>
    <row r="82" spans="1:6" ht="16.5" x14ac:dyDescent="0.25">
      <c r="A82" s="1"/>
      <c r="B82" s="1"/>
      <c r="C82" s="1"/>
      <c r="D82" s="1"/>
      <c r="E82" s="1"/>
      <c r="F82" s="1"/>
    </row>
    <row r="83" spans="1:6" ht="15.75" thickBot="1" x14ac:dyDescent="0.3">
      <c r="A83" s="38" t="s">
        <v>27</v>
      </c>
      <c r="B83" s="38" t="s">
        <v>28</v>
      </c>
      <c r="C83" s="38" t="s">
        <v>29</v>
      </c>
      <c r="D83" s="38" t="s">
        <v>30</v>
      </c>
      <c r="E83" s="38" t="s">
        <v>31</v>
      </c>
      <c r="F83" s="38" t="s">
        <v>32</v>
      </c>
    </row>
    <row r="84" spans="1:6" x14ac:dyDescent="0.25">
      <c r="A84" s="25">
        <v>78180103</v>
      </c>
      <c r="B84" s="26" t="s">
        <v>67</v>
      </c>
      <c r="C84" s="26" t="s">
        <v>68</v>
      </c>
      <c r="D84" s="25">
        <v>1</v>
      </c>
      <c r="E84" s="27">
        <v>30000</v>
      </c>
      <c r="F84" s="28">
        <f>+Table4656[[#This Row],[PRECIO UNITARIO ESTIMADO]]*Table4656[[#This Row],[CANTIDAD TOTAL ESTIMADA]]</f>
        <v>30000</v>
      </c>
    </row>
    <row r="85" spans="1:6" x14ac:dyDescent="0.25">
      <c r="A85" s="25">
        <v>78180103</v>
      </c>
      <c r="B85" s="26" t="s">
        <v>69</v>
      </c>
      <c r="C85" s="26" t="s">
        <v>68</v>
      </c>
      <c r="D85" s="25">
        <v>1</v>
      </c>
      <c r="E85" s="27">
        <v>25000</v>
      </c>
      <c r="F85" s="28">
        <f>+Table4656[[#This Row],[PRECIO UNITARIO ESTIMADO]]*Table4656[[#This Row],[CANTIDAD TOTAL ESTIMADA]]</f>
        <v>25000</v>
      </c>
    </row>
    <row r="86" spans="1:6" x14ac:dyDescent="0.25">
      <c r="A86" s="25">
        <v>78180103</v>
      </c>
      <c r="B86" s="26" t="s">
        <v>70</v>
      </c>
      <c r="C86" s="26" t="s">
        <v>68</v>
      </c>
      <c r="D86" s="25">
        <v>1</v>
      </c>
      <c r="E86" s="27">
        <v>20000</v>
      </c>
      <c r="F86" s="28">
        <f>+Table4656[[#This Row],[PRECIO UNITARIO ESTIMADO]]*Table4656[[#This Row],[CANTIDAD TOTAL ESTIMADA]]</f>
        <v>20000</v>
      </c>
    </row>
    <row r="87" spans="1:6" ht="30" x14ac:dyDescent="0.25">
      <c r="A87" s="25">
        <v>78180103</v>
      </c>
      <c r="B87" s="26" t="s">
        <v>71</v>
      </c>
      <c r="C87" s="39" t="s">
        <v>68</v>
      </c>
      <c r="D87" s="40">
        <v>1</v>
      </c>
      <c r="E87" s="41">
        <v>15000</v>
      </c>
      <c r="F87" s="42">
        <f>+Table4656[[#This Row],[PRECIO UNITARIO ESTIMADO]]*Table4656[[#This Row],[CANTIDAD TOTAL ESTIMADA]]</f>
        <v>15000</v>
      </c>
    </row>
    <row r="88" spans="1:6" ht="16.5" x14ac:dyDescent="0.25">
      <c r="A88" s="1"/>
      <c r="B88" s="1"/>
      <c r="C88" s="1"/>
      <c r="D88" s="1"/>
      <c r="E88" s="29" t="s">
        <v>40</v>
      </c>
      <c r="F88" s="30">
        <f>SUM(Table4656[MONTO TOTAL ESTIMADO])</f>
        <v>90000</v>
      </c>
    </row>
    <row r="89" spans="1:6" ht="15.75" thickBot="1" x14ac:dyDescent="0.3"/>
    <row r="90" spans="1:6" ht="45.75" thickBot="1" x14ac:dyDescent="0.3">
      <c r="A90" s="31" t="s">
        <v>41</v>
      </c>
      <c r="B90" s="31" t="s">
        <v>42</v>
      </c>
      <c r="C90" s="31" t="s">
        <v>43</v>
      </c>
      <c r="D90" s="31" t="s">
        <v>44</v>
      </c>
      <c r="E90" s="31" t="s">
        <v>45</v>
      </c>
      <c r="F90" s="31" t="s">
        <v>46</v>
      </c>
    </row>
    <row r="91" spans="1:6" ht="45.75" thickBot="1" x14ac:dyDescent="0.3">
      <c r="A91" s="32" t="s">
        <v>72</v>
      </c>
      <c r="B91" s="33" t="s">
        <v>63</v>
      </c>
      <c r="C91" s="33" t="s">
        <v>49</v>
      </c>
      <c r="D91" s="32" t="s">
        <v>50</v>
      </c>
      <c r="E91" s="33" t="s">
        <v>51</v>
      </c>
      <c r="F91" s="33"/>
    </row>
    <row r="92" spans="1:6" ht="15.75" thickBot="1" x14ac:dyDescent="0.3">
      <c r="A92" s="128" t="s">
        <v>16</v>
      </c>
      <c r="B92" s="34" t="s">
        <v>17</v>
      </c>
      <c r="C92" s="34" t="s">
        <v>52</v>
      </c>
      <c r="D92" s="128" t="s">
        <v>18</v>
      </c>
      <c r="E92" s="35" t="s">
        <v>19</v>
      </c>
      <c r="F92" s="36" t="s">
        <v>20</v>
      </c>
    </row>
    <row r="93" spans="1:6" ht="15.75" thickBot="1" x14ac:dyDescent="0.3">
      <c r="A93" s="129"/>
      <c r="B93" s="34" t="s">
        <v>21</v>
      </c>
      <c r="C93" s="34">
        <v>2</v>
      </c>
      <c r="D93" s="129"/>
      <c r="E93" s="35" t="s">
        <v>22</v>
      </c>
      <c r="F93" s="36" t="s">
        <v>23</v>
      </c>
    </row>
    <row r="94" spans="1:6" ht="15.75" thickBot="1" x14ac:dyDescent="0.3">
      <c r="A94" s="129"/>
      <c r="B94" s="34" t="s">
        <v>24</v>
      </c>
      <c r="C94" s="34" t="s">
        <v>53</v>
      </c>
      <c r="D94" s="129"/>
      <c r="E94" s="35" t="s">
        <v>25</v>
      </c>
      <c r="F94" s="36"/>
    </row>
    <row r="95" spans="1:6" ht="15.75" thickBot="1" x14ac:dyDescent="0.3">
      <c r="A95" s="129"/>
      <c r="B95" s="34" t="s">
        <v>21</v>
      </c>
      <c r="C95" s="34">
        <v>2</v>
      </c>
      <c r="D95" s="129"/>
      <c r="E95" s="35" t="s">
        <v>26</v>
      </c>
      <c r="F95" s="36"/>
    </row>
    <row r="96" spans="1:6" ht="16.5" x14ac:dyDescent="0.25">
      <c r="A96" s="1"/>
      <c r="B96" s="1"/>
      <c r="C96" s="1"/>
      <c r="D96" s="1"/>
      <c r="E96" s="1"/>
      <c r="F96" s="1"/>
    </row>
    <row r="97" spans="1:6" ht="15.75" thickBot="1" x14ac:dyDescent="0.3">
      <c r="A97" s="38" t="s">
        <v>27</v>
      </c>
      <c r="B97" s="38" t="s">
        <v>28</v>
      </c>
      <c r="C97" s="38" t="s">
        <v>29</v>
      </c>
      <c r="D97" s="38" t="s">
        <v>30</v>
      </c>
      <c r="E97" s="38" t="s">
        <v>31</v>
      </c>
      <c r="F97" s="38" t="s">
        <v>32</v>
      </c>
    </row>
    <row r="98" spans="1:6" x14ac:dyDescent="0.25">
      <c r="A98" s="25">
        <v>78180103</v>
      </c>
      <c r="B98" s="26" t="s">
        <v>67</v>
      </c>
      <c r="C98" s="26" t="s">
        <v>68</v>
      </c>
      <c r="D98" s="25">
        <v>1</v>
      </c>
      <c r="E98" s="27">
        <v>30000</v>
      </c>
      <c r="F98" s="28">
        <f>+Table43757[[#This Row],[PRECIO UNITARIO ESTIMADO]]*Table43757[[#This Row],[CANTIDAD TOTAL ESTIMADA]]</f>
        <v>30000</v>
      </c>
    </row>
    <row r="99" spans="1:6" x14ac:dyDescent="0.25">
      <c r="A99" s="25">
        <v>78180103</v>
      </c>
      <c r="B99" s="26" t="s">
        <v>69</v>
      </c>
      <c r="C99" s="26" t="s">
        <v>68</v>
      </c>
      <c r="D99" s="25">
        <v>1</v>
      </c>
      <c r="E99" s="27">
        <v>25000</v>
      </c>
      <c r="F99" s="28">
        <f>+Table43757[[#This Row],[PRECIO UNITARIO ESTIMADO]]*Table43757[[#This Row],[CANTIDAD TOTAL ESTIMADA]]</f>
        <v>25000</v>
      </c>
    </row>
    <row r="100" spans="1:6" x14ac:dyDescent="0.25">
      <c r="A100" s="25">
        <v>78180103</v>
      </c>
      <c r="B100" s="26" t="s">
        <v>70</v>
      </c>
      <c r="C100" s="26" t="s">
        <v>68</v>
      </c>
      <c r="D100" s="25">
        <v>1</v>
      </c>
      <c r="E100" s="27">
        <v>20000</v>
      </c>
      <c r="F100" s="28">
        <f>+Table43757[[#This Row],[PRECIO UNITARIO ESTIMADO]]*Table43757[[#This Row],[CANTIDAD TOTAL ESTIMADA]]</f>
        <v>20000</v>
      </c>
    </row>
    <row r="101" spans="1:6" ht="30" x14ac:dyDescent="0.25">
      <c r="A101" s="25">
        <v>78180103</v>
      </c>
      <c r="B101" s="26" t="s">
        <v>71</v>
      </c>
      <c r="C101" s="39" t="s">
        <v>68</v>
      </c>
      <c r="D101" s="40">
        <v>1</v>
      </c>
      <c r="E101" s="41">
        <v>15000</v>
      </c>
      <c r="F101" s="28">
        <f>+Table43757[[#This Row],[PRECIO UNITARIO ESTIMADO]]*Table43757[[#This Row],[CANTIDAD TOTAL ESTIMADA]]</f>
        <v>15000</v>
      </c>
    </row>
    <row r="102" spans="1:6" ht="16.5" x14ac:dyDescent="0.25">
      <c r="A102" s="1"/>
      <c r="B102" s="1"/>
      <c r="C102" s="1"/>
      <c r="D102" s="1"/>
      <c r="E102" s="29" t="s">
        <v>40</v>
      </c>
      <c r="F102" s="30">
        <f>SUBTOTAL(109,Table43757[MONTO TOTAL ESTIMADO])</f>
        <v>90000</v>
      </c>
    </row>
    <row r="103" spans="1:6" ht="15.75" thickBot="1" x14ac:dyDescent="0.3"/>
    <row r="104" spans="1:6" ht="45.75" thickBot="1" x14ac:dyDescent="0.3">
      <c r="A104" s="31" t="s">
        <v>41</v>
      </c>
      <c r="B104" s="31" t="s">
        <v>42</v>
      </c>
      <c r="C104" s="31" t="s">
        <v>43</v>
      </c>
      <c r="D104" s="31" t="s">
        <v>44</v>
      </c>
      <c r="E104" s="31" t="s">
        <v>45</v>
      </c>
      <c r="F104" s="31" t="s">
        <v>46</v>
      </c>
    </row>
    <row r="105" spans="1:6" ht="45.75" thickBot="1" x14ac:dyDescent="0.3">
      <c r="A105" s="32" t="s">
        <v>73</v>
      </c>
      <c r="B105" s="33" t="s">
        <v>63</v>
      </c>
      <c r="C105" s="33" t="s">
        <v>49</v>
      </c>
      <c r="D105" s="32" t="s">
        <v>50</v>
      </c>
      <c r="E105" s="33" t="s">
        <v>51</v>
      </c>
      <c r="F105" s="33"/>
    </row>
    <row r="106" spans="1:6" ht="15.75" thickBot="1" x14ac:dyDescent="0.3">
      <c r="A106" s="128" t="s">
        <v>16</v>
      </c>
      <c r="B106" s="34" t="s">
        <v>17</v>
      </c>
      <c r="C106" s="34" t="s">
        <v>57</v>
      </c>
      <c r="D106" s="128" t="s">
        <v>18</v>
      </c>
      <c r="E106" s="35" t="s">
        <v>19</v>
      </c>
      <c r="F106" s="36" t="s">
        <v>20</v>
      </c>
    </row>
    <row r="107" spans="1:6" ht="15.75" thickBot="1" x14ac:dyDescent="0.3">
      <c r="A107" s="129"/>
      <c r="B107" s="34" t="s">
        <v>21</v>
      </c>
      <c r="C107" s="34">
        <v>3</v>
      </c>
      <c r="D107" s="129"/>
      <c r="E107" s="35" t="s">
        <v>22</v>
      </c>
      <c r="F107" s="36" t="s">
        <v>23</v>
      </c>
    </row>
    <row r="108" spans="1:6" ht="15.75" thickBot="1" x14ac:dyDescent="0.3">
      <c r="A108" s="129"/>
      <c r="B108" s="34" t="s">
        <v>24</v>
      </c>
      <c r="C108" s="34" t="s">
        <v>58</v>
      </c>
      <c r="D108" s="129"/>
      <c r="E108" s="35" t="s">
        <v>25</v>
      </c>
      <c r="F108" s="36"/>
    </row>
    <row r="109" spans="1:6" ht="15.75" thickBot="1" x14ac:dyDescent="0.3">
      <c r="A109" s="129"/>
      <c r="B109" s="34" t="s">
        <v>21</v>
      </c>
      <c r="C109" s="34">
        <v>3</v>
      </c>
      <c r="D109" s="129"/>
      <c r="E109" s="35" t="s">
        <v>26</v>
      </c>
      <c r="F109" s="36"/>
    </row>
    <row r="110" spans="1:6" ht="16.5" x14ac:dyDescent="0.25">
      <c r="A110" s="1"/>
      <c r="B110" s="1"/>
      <c r="C110" s="1"/>
      <c r="D110" s="1"/>
      <c r="E110" s="1"/>
      <c r="F110" s="1"/>
    </row>
    <row r="111" spans="1:6" ht="15.75" thickBot="1" x14ac:dyDescent="0.3">
      <c r="A111" s="38" t="s">
        <v>27</v>
      </c>
      <c r="B111" s="38" t="s">
        <v>28</v>
      </c>
      <c r="C111" s="38" t="s">
        <v>29</v>
      </c>
      <c r="D111" s="38" t="s">
        <v>30</v>
      </c>
      <c r="E111" s="38" t="s">
        <v>31</v>
      </c>
      <c r="F111" s="38" t="s">
        <v>32</v>
      </c>
    </row>
    <row r="112" spans="1:6" x14ac:dyDescent="0.25">
      <c r="A112" s="25">
        <v>78180103</v>
      </c>
      <c r="B112" s="26" t="s">
        <v>67</v>
      </c>
      <c r="C112" s="26" t="s">
        <v>68</v>
      </c>
      <c r="D112" s="25">
        <v>1</v>
      </c>
      <c r="E112" s="27">
        <v>30000</v>
      </c>
      <c r="F112" s="28">
        <f>+Table434858[[#This Row],[PRECIO UNITARIO ESTIMADO]]*Table434858[[#This Row],[CANTIDAD TOTAL ESTIMADA]]</f>
        <v>30000</v>
      </c>
    </row>
    <row r="113" spans="1:6" x14ac:dyDescent="0.25">
      <c r="A113" s="25">
        <v>78180103</v>
      </c>
      <c r="B113" s="26" t="s">
        <v>69</v>
      </c>
      <c r="C113" s="26" t="s">
        <v>68</v>
      </c>
      <c r="D113" s="25">
        <v>1</v>
      </c>
      <c r="E113" s="27">
        <v>25000</v>
      </c>
      <c r="F113" s="28">
        <f>+Table434858[[#This Row],[PRECIO UNITARIO ESTIMADO]]*Table434858[[#This Row],[CANTIDAD TOTAL ESTIMADA]]</f>
        <v>25000</v>
      </c>
    </row>
    <row r="114" spans="1:6" x14ac:dyDescent="0.25">
      <c r="A114" s="25">
        <v>78180103</v>
      </c>
      <c r="B114" s="26" t="s">
        <v>70</v>
      </c>
      <c r="C114" s="26" t="s">
        <v>68</v>
      </c>
      <c r="D114" s="25">
        <v>1</v>
      </c>
      <c r="E114" s="27">
        <v>20000</v>
      </c>
      <c r="F114" s="28">
        <f>+Table434858[[#This Row],[PRECIO UNITARIO ESTIMADO]]*Table434858[[#This Row],[CANTIDAD TOTAL ESTIMADA]]</f>
        <v>20000</v>
      </c>
    </row>
    <row r="115" spans="1:6" ht="30" x14ac:dyDescent="0.25">
      <c r="A115" s="25">
        <v>78180103</v>
      </c>
      <c r="B115" s="26" t="s">
        <v>71</v>
      </c>
      <c r="C115" s="26" t="s">
        <v>68</v>
      </c>
      <c r="D115" s="25">
        <v>1</v>
      </c>
      <c r="E115" s="41">
        <v>15000</v>
      </c>
      <c r="F115" s="28">
        <f>+Table434858[[#This Row],[PRECIO UNITARIO ESTIMADO]]*Table434858[[#This Row],[CANTIDAD TOTAL ESTIMADA]]</f>
        <v>15000</v>
      </c>
    </row>
    <row r="116" spans="1:6" ht="16.5" x14ac:dyDescent="0.25">
      <c r="A116" s="1"/>
      <c r="B116" s="1"/>
      <c r="C116" s="1"/>
      <c r="D116" s="1"/>
      <c r="E116" s="29" t="s">
        <v>40</v>
      </c>
      <c r="F116" s="30">
        <f>SUBTOTAL(109,Table43757[MONTO TOTAL ESTIMADO])</f>
        <v>90000</v>
      </c>
    </row>
    <row r="118" spans="1:6" ht="15.75" thickBot="1" x14ac:dyDescent="0.3"/>
    <row r="119" spans="1:6" ht="45.75" thickBot="1" x14ac:dyDescent="0.3">
      <c r="A119" s="31" t="s">
        <v>41</v>
      </c>
      <c r="B119" s="31" t="s">
        <v>42</v>
      </c>
      <c r="C119" s="31" t="s">
        <v>43</v>
      </c>
      <c r="D119" s="31" t="s">
        <v>44</v>
      </c>
      <c r="E119" s="31" t="s">
        <v>74</v>
      </c>
      <c r="F119" s="31" t="s">
        <v>46</v>
      </c>
    </row>
    <row r="120" spans="1:6" ht="45.75" thickBot="1" x14ac:dyDescent="0.3">
      <c r="A120" s="32" t="s">
        <v>75</v>
      </c>
      <c r="B120" s="32" t="s">
        <v>63</v>
      </c>
      <c r="C120" s="33" t="s">
        <v>49</v>
      </c>
      <c r="D120" s="32" t="s">
        <v>50</v>
      </c>
      <c r="E120" s="33" t="s">
        <v>51</v>
      </c>
      <c r="F120" s="33"/>
    </row>
    <row r="121" spans="1:6" ht="15.75" thickBot="1" x14ac:dyDescent="0.3">
      <c r="A121" s="128" t="s">
        <v>16</v>
      </c>
      <c r="B121" s="34" t="s">
        <v>17</v>
      </c>
      <c r="C121" s="34" t="s">
        <v>60</v>
      </c>
      <c r="D121" s="128" t="s">
        <v>18</v>
      </c>
      <c r="E121" s="35" t="s">
        <v>19</v>
      </c>
      <c r="F121" s="36" t="s">
        <v>20</v>
      </c>
    </row>
    <row r="122" spans="1:6" ht="15.75" thickBot="1" x14ac:dyDescent="0.3">
      <c r="A122" s="129"/>
      <c r="B122" s="34" t="s">
        <v>21</v>
      </c>
      <c r="C122" s="34">
        <v>4</v>
      </c>
      <c r="D122" s="129"/>
      <c r="E122" s="35" t="s">
        <v>22</v>
      </c>
      <c r="F122" s="36" t="s">
        <v>23</v>
      </c>
    </row>
    <row r="123" spans="1:6" ht="15.75" thickBot="1" x14ac:dyDescent="0.3">
      <c r="A123" s="129"/>
      <c r="B123" s="34" t="s">
        <v>24</v>
      </c>
      <c r="C123" s="34" t="s">
        <v>61</v>
      </c>
      <c r="D123" s="129"/>
      <c r="E123" s="35" t="s">
        <v>25</v>
      </c>
      <c r="F123" s="36"/>
    </row>
    <row r="124" spans="1:6" ht="15.75" thickBot="1" x14ac:dyDescent="0.3">
      <c r="A124" s="129"/>
      <c r="B124" s="34" t="s">
        <v>21</v>
      </c>
      <c r="C124" s="34">
        <v>4</v>
      </c>
      <c r="D124" s="129"/>
      <c r="E124" s="35" t="s">
        <v>26</v>
      </c>
      <c r="F124" s="36"/>
    </row>
    <row r="125" spans="1:6" ht="16.5" x14ac:dyDescent="0.25">
      <c r="A125" s="1"/>
      <c r="B125" s="1"/>
      <c r="C125" s="1"/>
      <c r="D125" s="1"/>
      <c r="E125" s="1"/>
      <c r="F125" s="1"/>
    </row>
    <row r="126" spans="1:6" ht="15.75" thickBot="1" x14ac:dyDescent="0.3">
      <c r="A126" s="38" t="s">
        <v>27</v>
      </c>
      <c r="B126" s="38" t="s">
        <v>28</v>
      </c>
      <c r="C126" s="38" t="s">
        <v>29</v>
      </c>
      <c r="D126" s="38" t="s">
        <v>30</v>
      </c>
      <c r="E126" s="38" t="s">
        <v>31</v>
      </c>
      <c r="F126" s="38" t="s">
        <v>32</v>
      </c>
    </row>
    <row r="127" spans="1:6" x14ac:dyDescent="0.25">
      <c r="A127" s="25">
        <v>78180103</v>
      </c>
      <c r="B127" s="26" t="s">
        <v>67</v>
      </c>
      <c r="C127" s="26" t="s">
        <v>68</v>
      </c>
      <c r="D127" s="25">
        <v>1</v>
      </c>
      <c r="E127" s="27">
        <v>30000</v>
      </c>
      <c r="F127" s="28">
        <f>+Table4345960[[#This Row],[PRECIO UNITARIO ESTIMADO]]*Table4345960[[#This Row],[CANTIDAD TOTAL ESTIMADA]]</f>
        <v>30000</v>
      </c>
    </row>
    <row r="128" spans="1:6" x14ac:dyDescent="0.25">
      <c r="A128" s="25">
        <v>78180103</v>
      </c>
      <c r="B128" s="26" t="s">
        <v>69</v>
      </c>
      <c r="C128" s="26" t="s">
        <v>68</v>
      </c>
      <c r="D128" s="25">
        <v>1</v>
      </c>
      <c r="E128" s="27">
        <v>25000</v>
      </c>
      <c r="F128" s="28">
        <f>+Table4345960[[#This Row],[PRECIO UNITARIO ESTIMADO]]*Table4345960[[#This Row],[CANTIDAD TOTAL ESTIMADA]]</f>
        <v>25000</v>
      </c>
    </row>
    <row r="129" spans="1:6" x14ac:dyDescent="0.25">
      <c r="A129" s="25">
        <v>78180103</v>
      </c>
      <c r="B129" s="26" t="s">
        <v>70</v>
      </c>
      <c r="C129" s="26" t="s">
        <v>68</v>
      </c>
      <c r="D129" s="25">
        <v>1</v>
      </c>
      <c r="E129" s="27">
        <v>20000</v>
      </c>
      <c r="F129" s="28">
        <f>+Table4345960[[#This Row],[PRECIO UNITARIO ESTIMADO]]*Table4345960[[#This Row],[CANTIDAD TOTAL ESTIMADA]]</f>
        <v>20000</v>
      </c>
    </row>
    <row r="130" spans="1:6" ht="30" x14ac:dyDescent="0.25">
      <c r="A130" s="25">
        <v>78180103</v>
      </c>
      <c r="B130" s="26" t="s">
        <v>71</v>
      </c>
      <c r="C130" s="26" t="s">
        <v>68</v>
      </c>
      <c r="D130" s="25">
        <v>1</v>
      </c>
      <c r="E130" s="41">
        <v>15000</v>
      </c>
      <c r="F130" s="28">
        <f>+Table4345960[[#This Row],[PRECIO UNITARIO ESTIMADO]]*Table4345960[[#This Row],[CANTIDAD TOTAL ESTIMADA]]</f>
        <v>15000</v>
      </c>
    </row>
    <row r="131" spans="1:6" ht="16.5" x14ac:dyDescent="0.25">
      <c r="A131" s="1"/>
      <c r="B131" s="1"/>
      <c r="C131" s="1"/>
      <c r="D131" s="1"/>
      <c r="E131" s="29" t="s">
        <v>40</v>
      </c>
      <c r="F131" s="30">
        <f>SUM(F127:F130)</f>
        <v>90000</v>
      </c>
    </row>
    <row r="133" spans="1:6" ht="15.75" thickBot="1" x14ac:dyDescent="0.3"/>
    <row r="134" spans="1:6" ht="45.75" thickBot="1" x14ac:dyDescent="0.3">
      <c r="A134" s="37" t="s">
        <v>41</v>
      </c>
      <c r="B134" s="37" t="s">
        <v>42</v>
      </c>
      <c r="C134" s="37" t="s">
        <v>43</v>
      </c>
      <c r="D134" s="37" t="s">
        <v>44</v>
      </c>
      <c r="E134" s="37" t="s">
        <v>45</v>
      </c>
      <c r="F134" s="37" t="s">
        <v>46</v>
      </c>
    </row>
    <row r="135" spans="1:6" ht="58.5" thickBot="1" x14ac:dyDescent="0.3">
      <c r="A135" s="32" t="s">
        <v>76</v>
      </c>
      <c r="B135" s="43" t="s">
        <v>77</v>
      </c>
      <c r="C135" s="33" t="s">
        <v>49</v>
      </c>
      <c r="D135" s="33" t="s">
        <v>50</v>
      </c>
      <c r="E135" s="33" t="s">
        <v>51</v>
      </c>
      <c r="F135" s="33"/>
    </row>
    <row r="136" spans="1:6" ht="15.75" thickBot="1" x14ac:dyDescent="0.3">
      <c r="A136" s="126" t="s">
        <v>16</v>
      </c>
      <c r="B136" s="20" t="s">
        <v>17</v>
      </c>
      <c r="C136" s="20" t="s">
        <v>65</v>
      </c>
      <c r="D136" s="126" t="s">
        <v>18</v>
      </c>
      <c r="E136" s="22" t="s">
        <v>19</v>
      </c>
      <c r="F136" s="23" t="s">
        <v>20</v>
      </c>
    </row>
    <row r="137" spans="1:6" ht="15.75" thickBot="1" x14ac:dyDescent="0.3">
      <c r="A137" s="127"/>
      <c r="B137" s="20" t="s">
        <v>21</v>
      </c>
      <c r="C137" s="20">
        <v>1</v>
      </c>
      <c r="D137" s="127"/>
      <c r="E137" s="22" t="s">
        <v>22</v>
      </c>
      <c r="F137" s="23" t="s">
        <v>23</v>
      </c>
    </row>
    <row r="138" spans="1:6" ht="15.75" thickBot="1" x14ac:dyDescent="0.3">
      <c r="A138" s="127"/>
      <c r="B138" s="20" t="s">
        <v>24</v>
      </c>
      <c r="C138" s="20" t="s">
        <v>66</v>
      </c>
      <c r="D138" s="127"/>
      <c r="E138" s="22" t="s">
        <v>25</v>
      </c>
      <c r="F138" s="23"/>
    </row>
    <row r="139" spans="1:6" ht="15.75" thickBot="1" x14ac:dyDescent="0.3">
      <c r="A139" s="127"/>
      <c r="B139" s="20" t="s">
        <v>21</v>
      </c>
      <c r="C139" s="20">
        <v>1</v>
      </c>
      <c r="D139" s="127"/>
      <c r="E139" s="22" t="s">
        <v>26</v>
      </c>
      <c r="F139" s="23"/>
    </row>
    <row r="140" spans="1:6" ht="17.25" thickBot="1" x14ac:dyDescent="0.3">
      <c r="A140" s="1"/>
      <c r="B140" s="1"/>
      <c r="C140" s="1"/>
      <c r="D140" s="1"/>
      <c r="E140" s="1"/>
      <c r="F140" s="1"/>
    </row>
    <row r="141" spans="1:6" ht="15.75" thickBot="1" x14ac:dyDescent="0.3">
      <c r="A141" s="24" t="s">
        <v>27</v>
      </c>
      <c r="B141" s="24" t="s">
        <v>28</v>
      </c>
      <c r="C141" s="24" t="s">
        <v>29</v>
      </c>
      <c r="D141" s="24" t="s">
        <v>30</v>
      </c>
      <c r="E141" s="24" t="s">
        <v>31</v>
      </c>
      <c r="F141" s="24" t="s">
        <v>32</v>
      </c>
    </row>
    <row r="142" spans="1:6" ht="30" x14ac:dyDescent="0.25">
      <c r="A142" s="44" t="s">
        <v>78</v>
      </c>
      <c r="B142" s="26" t="s">
        <v>79</v>
      </c>
      <c r="C142" s="26" t="s">
        <v>68</v>
      </c>
      <c r="D142" s="25">
        <v>1</v>
      </c>
      <c r="E142" s="27">
        <v>12500</v>
      </c>
      <c r="F142" s="28">
        <f>Table41065[[#This Row],[CANTIDAD TOTAL ESTIMADA]]*Table41065[[#This Row],[PRECIO UNITARIO ESTIMADO]]</f>
        <v>12500</v>
      </c>
    </row>
    <row r="143" spans="1:6" x14ac:dyDescent="0.25">
      <c r="A143" s="25">
        <v>76101503</v>
      </c>
      <c r="B143" s="104" t="s">
        <v>80</v>
      </c>
      <c r="C143" s="26" t="s">
        <v>68</v>
      </c>
      <c r="D143" s="25">
        <v>1</v>
      </c>
      <c r="E143" s="27">
        <v>7500</v>
      </c>
      <c r="F143" s="28">
        <f>Table41065[[#This Row],[CANTIDAD TOTAL ESTIMADA]]*Table41065[[#This Row],[PRECIO UNITARIO ESTIMADO]]</f>
        <v>7500</v>
      </c>
    </row>
    <row r="144" spans="1:6" ht="16.5" x14ac:dyDescent="0.25">
      <c r="A144" s="1"/>
      <c r="B144" s="1"/>
      <c r="C144" s="1"/>
      <c r="D144" s="1"/>
      <c r="E144" s="29" t="s">
        <v>40</v>
      </c>
      <c r="F144" s="30">
        <f>SUBTOTAL(109,Table41065[MONTO TOTAL ESTIMADO])</f>
        <v>20000</v>
      </c>
    </row>
    <row r="145" spans="1:7" ht="15.75" thickBot="1" x14ac:dyDescent="0.3"/>
    <row r="146" spans="1:7" ht="45.75" thickBot="1" x14ac:dyDescent="0.3">
      <c r="A146" s="31" t="s">
        <v>41</v>
      </c>
      <c r="B146" s="31" t="s">
        <v>42</v>
      </c>
      <c r="C146" s="31" t="s">
        <v>43</v>
      </c>
      <c r="D146" s="31" t="s">
        <v>44</v>
      </c>
      <c r="E146" s="31" t="s">
        <v>45</v>
      </c>
      <c r="F146" s="31" t="s">
        <v>46</v>
      </c>
    </row>
    <row r="147" spans="1:7" ht="58.5" thickBot="1" x14ac:dyDescent="0.3">
      <c r="A147" s="32" t="s">
        <v>81</v>
      </c>
      <c r="B147" s="43" t="s">
        <v>77</v>
      </c>
      <c r="C147" s="33" t="s">
        <v>49</v>
      </c>
      <c r="D147" s="32" t="s">
        <v>50</v>
      </c>
      <c r="E147" s="33" t="s">
        <v>51</v>
      </c>
      <c r="F147" s="33"/>
    </row>
    <row r="148" spans="1:7" ht="15.75" thickBot="1" x14ac:dyDescent="0.3">
      <c r="A148" s="128" t="s">
        <v>16</v>
      </c>
      <c r="B148" s="34" t="s">
        <v>17</v>
      </c>
      <c r="C148" s="34" t="s">
        <v>52</v>
      </c>
      <c r="D148" s="128" t="s">
        <v>18</v>
      </c>
      <c r="E148" s="35" t="s">
        <v>19</v>
      </c>
      <c r="F148" s="36" t="s">
        <v>20</v>
      </c>
    </row>
    <row r="149" spans="1:7" ht="15.75" thickBot="1" x14ac:dyDescent="0.3">
      <c r="A149" s="129"/>
      <c r="B149" s="34" t="s">
        <v>21</v>
      </c>
      <c r="C149" s="34">
        <v>2</v>
      </c>
      <c r="D149" s="129"/>
      <c r="E149" s="35" t="s">
        <v>22</v>
      </c>
      <c r="F149" s="36" t="s">
        <v>23</v>
      </c>
    </row>
    <row r="150" spans="1:7" ht="15.75" thickBot="1" x14ac:dyDescent="0.3">
      <c r="A150" s="129"/>
      <c r="B150" s="34" t="s">
        <v>24</v>
      </c>
      <c r="C150" s="34" t="s">
        <v>53</v>
      </c>
      <c r="D150" s="129"/>
      <c r="E150" s="35" t="s">
        <v>25</v>
      </c>
      <c r="F150" s="36"/>
    </row>
    <row r="151" spans="1:7" ht="15.75" thickBot="1" x14ac:dyDescent="0.3">
      <c r="A151" s="129"/>
      <c r="B151" s="34" t="s">
        <v>21</v>
      </c>
      <c r="C151" s="34">
        <v>2</v>
      </c>
      <c r="D151" s="129"/>
      <c r="E151" s="35" t="s">
        <v>26</v>
      </c>
      <c r="F151" s="36"/>
    </row>
    <row r="152" spans="1:7" ht="17.25" thickBot="1" x14ac:dyDescent="0.3">
      <c r="A152" s="1"/>
      <c r="B152" s="1"/>
      <c r="C152" s="1"/>
      <c r="D152" s="1"/>
      <c r="E152" s="1"/>
      <c r="F152" s="1"/>
    </row>
    <row r="153" spans="1:7" ht="15.75" thickBot="1" x14ac:dyDescent="0.3">
      <c r="A153" s="24" t="s">
        <v>27</v>
      </c>
      <c r="B153" s="24" t="s">
        <v>28</v>
      </c>
      <c r="C153" s="24" t="s">
        <v>29</v>
      </c>
      <c r="D153" s="24" t="s">
        <v>30</v>
      </c>
      <c r="E153" s="24" t="s">
        <v>31</v>
      </c>
      <c r="F153" s="24" t="s">
        <v>32</v>
      </c>
      <c r="G153" s="110"/>
    </row>
    <row r="154" spans="1:7" ht="30" x14ac:dyDescent="0.25">
      <c r="A154" s="44" t="s">
        <v>78</v>
      </c>
      <c r="B154" s="26" t="s">
        <v>79</v>
      </c>
      <c r="C154" s="26" t="s">
        <v>68</v>
      </c>
      <c r="D154" s="25">
        <v>1</v>
      </c>
      <c r="E154" s="27">
        <v>12500</v>
      </c>
      <c r="F154" s="28">
        <f>+Table431166[[#This Row],[PRECIO UNITARIO ESTIMADO]]*Table431166[[#This Row],[CANTIDAD TOTAL ESTIMADA]]</f>
        <v>12500</v>
      </c>
    </row>
    <row r="155" spans="1:7" x14ac:dyDescent="0.25">
      <c r="A155" s="25"/>
      <c r="B155" s="104"/>
      <c r="C155" s="26"/>
      <c r="D155" s="25"/>
      <c r="E155" s="27"/>
      <c r="F155" s="28"/>
    </row>
    <row r="156" spans="1:7" ht="16.5" x14ac:dyDescent="0.25">
      <c r="A156" s="1"/>
      <c r="B156" s="1"/>
      <c r="C156" s="1"/>
      <c r="D156" s="1"/>
      <c r="E156" s="29" t="s">
        <v>40</v>
      </c>
      <c r="F156" s="30">
        <f>SUBTOTAL(109,Table431166[MONTO TOTAL ESTIMADO])</f>
        <v>12500</v>
      </c>
    </row>
    <row r="157" spans="1:7" ht="15.75" thickBot="1" x14ac:dyDescent="0.3"/>
    <row r="158" spans="1:7" ht="45.75" thickBot="1" x14ac:dyDescent="0.3">
      <c r="A158" s="31" t="s">
        <v>41</v>
      </c>
      <c r="B158" s="31" t="s">
        <v>42</v>
      </c>
      <c r="C158" s="31" t="s">
        <v>43</v>
      </c>
      <c r="D158" s="31" t="s">
        <v>44</v>
      </c>
      <c r="E158" s="31" t="s">
        <v>45</v>
      </c>
      <c r="F158" s="31" t="s">
        <v>46</v>
      </c>
    </row>
    <row r="159" spans="1:7" ht="58.5" thickBot="1" x14ac:dyDescent="0.3">
      <c r="A159" s="32" t="s">
        <v>82</v>
      </c>
      <c r="B159" s="43" t="s">
        <v>77</v>
      </c>
      <c r="C159" s="33" t="s">
        <v>49</v>
      </c>
      <c r="D159" s="32" t="s">
        <v>50</v>
      </c>
      <c r="E159" s="33" t="s">
        <v>51</v>
      </c>
      <c r="F159" s="33"/>
    </row>
    <row r="160" spans="1:7" ht="15.75" thickBot="1" x14ac:dyDescent="0.3">
      <c r="A160" s="128" t="s">
        <v>16</v>
      </c>
      <c r="B160" s="34" t="s">
        <v>17</v>
      </c>
      <c r="C160" s="34" t="s">
        <v>57</v>
      </c>
      <c r="D160" s="128" t="s">
        <v>18</v>
      </c>
      <c r="E160" s="35" t="s">
        <v>19</v>
      </c>
      <c r="F160" s="36" t="s">
        <v>20</v>
      </c>
    </row>
    <row r="161" spans="1:6" ht="15.75" thickBot="1" x14ac:dyDescent="0.3">
      <c r="A161" s="129"/>
      <c r="B161" s="34" t="s">
        <v>21</v>
      </c>
      <c r="C161" s="34">
        <v>3</v>
      </c>
      <c r="D161" s="129"/>
      <c r="E161" s="35" t="s">
        <v>22</v>
      </c>
      <c r="F161" s="36" t="s">
        <v>23</v>
      </c>
    </row>
    <row r="162" spans="1:6" ht="15.75" thickBot="1" x14ac:dyDescent="0.3">
      <c r="A162" s="129"/>
      <c r="B162" s="34" t="s">
        <v>24</v>
      </c>
      <c r="C162" s="34" t="s">
        <v>58</v>
      </c>
      <c r="D162" s="129"/>
      <c r="E162" s="35" t="s">
        <v>25</v>
      </c>
      <c r="F162" s="36"/>
    </row>
    <row r="163" spans="1:6" ht="15.75" thickBot="1" x14ac:dyDescent="0.3">
      <c r="A163" s="129"/>
      <c r="B163" s="34" t="s">
        <v>21</v>
      </c>
      <c r="C163" s="34">
        <v>3</v>
      </c>
      <c r="D163" s="129"/>
      <c r="E163" s="35" t="s">
        <v>26</v>
      </c>
      <c r="F163" s="36"/>
    </row>
    <row r="164" spans="1:6" ht="17.25" thickBot="1" x14ac:dyDescent="0.3">
      <c r="A164" s="1"/>
      <c r="B164" s="1"/>
      <c r="C164" s="1"/>
      <c r="D164" s="1"/>
      <c r="E164" s="1"/>
      <c r="F164" s="1"/>
    </row>
    <row r="165" spans="1:6" ht="15.75" thickBot="1" x14ac:dyDescent="0.3">
      <c r="A165" s="24" t="s">
        <v>27</v>
      </c>
      <c r="B165" s="24" t="s">
        <v>28</v>
      </c>
      <c r="C165" s="24" t="s">
        <v>29</v>
      </c>
      <c r="D165" s="24" t="s">
        <v>30</v>
      </c>
      <c r="E165" s="24" t="s">
        <v>31</v>
      </c>
      <c r="F165" s="24" t="s">
        <v>32</v>
      </c>
    </row>
    <row r="166" spans="1:6" ht="30" x14ac:dyDescent="0.25">
      <c r="A166" s="44" t="s">
        <v>78</v>
      </c>
      <c r="B166" s="26" t="s">
        <v>79</v>
      </c>
      <c r="C166" s="26" t="s">
        <v>68</v>
      </c>
      <c r="D166" s="25">
        <v>1</v>
      </c>
      <c r="E166" s="27">
        <v>12500</v>
      </c>
      <c r="F166" s="28">
        <f>+Table4341267[[#This Row],[PRECIO UNITARIO ESTIMADO]]*Table4341267[[#This Row],[CANTIDAD TOTAL ESTIMADA]]</f>
        <v>12500</v>
      </c>
    </row>
    <row r="167" spans="1:6" x14ac:dyDescent="0.25">
      <c r="A167" s="25">
        <v>76101503</v>
      </c>
      <c r="B167" s="104" t="s">
        <v>80</v>
      </c>
      <c r="C167" s="26" t="s">
        <v>68</v>
      </c>
      <c r="D167" s="25">
        <v>1</v>
      </c>
      <c r="E167" s="27">
        <v>7500</v>
      </c>
      <c r="F167" s="28">
        <f>+Table4341267[[#This Row],[PRECIO UNITARIO ESTIMADO]]*Table4341267[[#This Row],[CANTIDAD TOTAL ESTIMADA]]</f>
        <v>7500</v>
      </c>
    </row>
    <row r="168" spans="1:6" ht="16.5" x14ac:dyDescent="0.25">
      <c r="A168" s="1"/>
      <c r="B168" s="1"/>
      <c r="C168" s="1"/>
      <c r="D168" s="1"/>
      <c r="E168" s="29" t="s">
        <v>40</v>
      </c>
      <c r="F168" s="30">
        <f>SUBTOTAL(109,Table4341267[MONTO TOTAL ESTIMADO])</f>
        <v>20000</v>
      </c>
    </row>
    <row r="170" spans="1:6" ht="15.75" thickBot="1" x14ac:dyDescent="0.3"/>
    <row r="171" spans="1:6" ht="45.75" thickBot="1" x14ac:dyDescent="0.3">
      <c r="A171" s="31" t="s">
        <v>41</v>
      </c>
      <c r="B171" s="31" t="s">
        <v>42</v>
      </c>
      <c r="C171" s="31" t="s">
        <v>43</v>
      </c>
      <c r="D171" s="31" t="s">
        <v>44</v>
      </c>
      <c r="E171" s="31" t="s">
        <v>45</v>
      </c>
      <c r="F171" s="31" t="s">
        <v>46</v>
      </c>
    </row>
    <row r="172" spans="1:6" ht="58.5" thickBot="1" x14ac:dyDescent="0.3">
      <c r="A172" s="32" t="s">
        <v>83</v>
      </c>
      <c r="B172" s="43" t="s">
        <v>77</v>
      </c>
      <c r="C172" s="33" t="s">
        <v>49</v>
      </c>
      <c r="D172" s="32" t="s">
        <v>50</v>
      </c>
      <c r="E172" s="33" t="s">
        <v>51</v>
      </c>
      <c r="F172" s="33"/>
    </row>
    <row r="173" spans="1:6" ht="15.75" thickBot="1" x14ac:dyDescent="0.3">
      <c r="A173" s="128" t="s">
        <v>16</v>
      </c>
      <c r="B173" s="34" t="s">
        <v>17</v>
      </c>
      <c r="C173" s="34" t="s">
        <v>60</v>
      </c>
      <c r="D173" s="128" t="s">
        <v>18</v>
      </c>
      <c r="E173" s="35" t="s">
        <v>19</v>
      </c>
      <c r="F173" s="36" t="s">
        <v>20</v>
      </c>
    </row>
    <row r="174" spans="1:6" ht="15.75" thickBot="1" x14ac:dyDescent="0.3">
      <c r="A174" s="129"/>
      <c r="B174" s="34" t="s">
        <v>21</v>
      </c>
      <c r="C174" s="34">
        <v>4</v>
      </c>
      <c r="D174" s="129"/>
      <c r="E174" s="35" t="s">
        <v>22</v>
      </c>
      <c r="F174" s="36" t="s">
        <v>23</v>
      </c>
    </row>
    <row r="175" spans="1:6" ht="15.75" thickBot="1" x14ac:dyDescent="0.3">
      <c r="A175" s="129"/>
      <c r="B175" s="34" t="s">
        <v>24</v>
      </c>
      <c r="C175" s="34" t="s">
        <v>61</v>
      </c>
      <c r="D175" s="129"/>
      <c r="E175" s="35" t="s">
        <v>25</v>
      </c>
      <c r="F175" s="36"/>
    </row>
    <row r="176" spans="1:6" ht="15.75" thickBot="1" x14ac:dyDescent="0.3">
      <c r="A176" s="129"/>
      <c r="B176" s="34" t="s">
        <v>21</v>
      </c>
      <c r="C176" s="34">
        <v>4</v>
      </c>
      <c r="D176" s="129"/>
      <c r="E176" s="35" t="s">
        <v>26</v>
      </c>
      <c r="F176" s="36"/>
    </row>
    <row r="177" spans="1:7" ht="17.25" thickBot="1" x14ac:dyDescent="0.3">
      <c r="A177" s="1"/>
      <c r="B177" s="1"/>
      <c r="C177" s="1"/>
      <c r="D177" s="1"/>
      <c r="E177" s="1"/>
      <c r="F177" s="1"/>
    </row>
    <row r="178" spans="1:7" ht="15.75" thickBot="1" x14ac:dyDescent="0.3">
      <c r="A178" s="45" t="s">
        <v>27</v>
      </c>
      <c r="B178" s="24" t="s">
        <v>28</v>
      </c>
      <c r="C178" s="24" t="s">
        <v>29</v>
      </c>
      <c r="D178" s="24" t="s">
        <v>30</v>
      </c>
      <c r="E178" s="24" t="s">
        <v>31</v>
      </c>
      <c r="F178" s="24" t="s">
        <v>32</v>
      </c>
      <c r="G178" s="110"/>
    </row>
    <row r="179" spans="1:7" ht="30" x14ac:dyDescent="0.25">
      <c r="A179" s="46" t="s">
        <v>78</v>
      </c>
      <c r="B179" s="26" t="s">
        <v>79</v>
      </c>
      <c r="C179" s="26" t="s">
        <v>68</v>
      </c>
      <c r="D179" s="25">
        <v>1</v>
      </c>
      <c r="E179" s="27">
        <v>12500</v>
      </c>
      <c r="F179" s="28">
        <f>Table43451368[[#This Row],[CANTIDAD TOTAL ESTIMADA]]*Table43451368[[#This Row],[PRECIO UNITARIO ESTIMADO]]</f>
        <v>12500</v>
      </c>
    </row>
    <row r="180" spans="1:7" x14ac:dyDescent="0.25">
      <c r="A180" s="25"/>
      <c r="B180" s="104"/>
      <c r="C180" s="26"/>
      <c r="D180" s="25"/>
      <c r="E180" s="27"/>
      <c r="F180" s="28"/>
    </row>
    <row r="181" spans="1:7" ht="16.5" x14ac:dyDescent="0.25">
      <c r="A181" s="1"/>
      <c r="B181" s="1"/>
      <c r="C181" s="1"/>
      <c r="D181" s="1"/>
      <c r="E181" s="29" t="s">
        <v>40</v>
      </c>
      <c r="F181" s="30">
        <f>SUBTOTAL(109,Table43451368[MONTO TOTAL ESTIMADO])</f>
        <v>12500</v>
      </c>
    </row>
    <row r="183" spans="1:7" ht="15.75" thickBot="1" x14ac:dyDescent="0.3"/>
    <row r="184" spans="1:7" ht="45.75" thickBot="1" x14ac:dyDescent="0.3">
      <c r="A184" s="37" t="s">
        <v>41</v>
      </c>
      <c r="B184" s="37" t="s">
        <v>42</v>
      </c>
      <c r="C184" s="37" t="s">
        <v>43</v>
      </c>
      <c r="D184" s="37" t="s">
        <v>44</v>
      </c>
      <c r="E184" s="37" t="s">
        <v>45</v>
      </c>
      <c r="F184" s="37" t="s">
        <v>46</v>
      </c>
    </row>
    <row r="185" spans="1:7" ht="44.25" thickBot="1" x14ac:dyDescent="0.3">
      <c r="A185" s="32" t="s">
        <v>84</v>
      </c>
      <c r="B185" s="47" t="s">
        <v>85</v>
      </c>
      <c r="C185" s="33" t="s">
        <v>64</v>
      </c>
      <c r="D185" s="48" t="s">
        <v>50</v>
      </c>
      <c r="E185" s="33" t="s">
        <v>51</v>
      </c>
      <c r="F185" s="33"/>
    </row>
    <row r="186" spans="1:7" ht="15.75" thickBot="1" x14ac:dyDescent="0.3">
      <c r="A186" s="126" t="s">
        <v>16</v>
      </c>
      <c r="B186" s="20" t="s">
        <v>17</v>
      </c>
      <c r="C186" s="21">
        <v>45209</v>
      </c>
      <c r="D186" s="126" t="s">
        <v>18</v>
      </c>
      <c r="E186" s="22" t="s">
        <v>19</v>
      </c>
      <c r="F186" s="23" t="s">
        <v>20</v>
      </c>
    </row>
    <row r="187" spans="1:7" ht="15.75" thickBot="1" x14ac:dyDescent="0.3">
      <c r="A187" s="127"/>
      <c r="B187" s="20" t="s">
        <v>21</v>
      </c>
      <c r="C187" s="20">
        <v>4</v>
      </c>
      <c r="D187" s="127"/>
      <c r="E187" s="22" t="s">
        <v>22</v>
      </c>
      <c r="F187" s="23" t="s">
        <v>23</v>
      </c>
    </row>
    <row r="188" spans="1:7" ht="15.75" thickBot="1" x14ac:dyDescent="0.3">
      <c r="A188" s="127"/>
      <c r="B188" s="20" t="s">
        <v>24</v>
      </c>
      <c r="C188" s="20" t="s">
        <v>86</v>
      </c>
      <c r="D188" s="127"/>
      <c r="E188" s="22" t="s">
        <v>25</v>
      </c>
      <c r="F188" s="23"/>
    </row>
    <row r="189" spans="1:7" ht="15.75" thickBot="1" x14ac:dyDescent="0.3">
      <c r="A189" s="127"/>
      <c r="B189" s="20" t="s">
        <v>21</v>
      </c>
      <c r="C189" s="20">
        <v>4</v>
      </c>
      <c r="D189" s="127"/>
      <c r="E189" s="22" t="s">
        <v>26</v>
      </c>
      <c r="F189" s="23"/>
    </row>
    <row r="190" spans="1:7" ht="17.25" thickBot="1" x14ac:dyDescent="0.3">
      <c r="A190" s="1"/>
      <c r="B190" s="1"/>
      <c r="C190" s="1"/>
      <c r="D190" s="1"/>
      <c r="E190" s="1"/>
      <c r="F190" s="1"/>
    </row>
    <row r="191" spans="1:7" x14ac:dyDescent="0.25">
      <c r="A191" s="45" t="s">
        <v>27</v>
      </c>
      <c r="B191" s="45" t="s">
        <v>28</v>
      </c>
      <c r="C191" s="45" t="s">
        <v>29</v>
      </c>
      <c r="D191" s="45" t="s">
        <v>30</v>
      </c>
      <c r="E191" s="45" t="s">
        <v>31</v>
      </c>
      <c r="F191" s="45" t="s">
        <v>32</v>
      </c>
    </row>
    <row r="192" spans="1:7" ht="30" x14ac:dyDescent="0.25">
      <c r="A192" s="46">
        <v>73152101</v>
      </c>
      <c r="B192" s="26" t="s">
        <v>87</v>
      </c>
      <c r="C192" s="26" t="s">
        <v>68</v>
      </c>
      <c r="D192" s="25">
        <v>12</v>
      </c>
      <c r="E192" s="27">
        <v>1790.99</v>
      </c>
      <c r="F192" s="28">
        <f>+Table4101470[[#This Row],[PRECIO UNITARIO ESTIMADO]]*Table4101470[[#This Row],[CANTIDAD TOTAL ESTIMADA]]</f>
        <v>21491.88</v>
      </c>
    </row>
    <row r="193" spans="1:6" ht="30" x14ac:dyDescent="0.25">
      <c r="A193" s="46">
        <v>73152101</v>
      </c>
      <c r="B193" s="26" t="s">
        <v>88</v>
      </c>
      <c r="C193" s="26" t="s">
        <v>68</v>
      </c>
      <c r="D193" s="25">
        <v>12</v>
      </c>
      <c r="E193" s="27">
        <v>1430.99</v>
      </c>
      <c r="F193" s="28">
        <f>+Table4101470[[#This Row],[PRECIO UNITARIO ESTIMADO]]*Table4101470[[#This Row],[CANTIDAD TOTAL ESTIMADA]]</f>
        <v>17171.88</v>
      </c>
    </row>
    <row r="194" spans="1:6" ht="30" x14ac:dyDescent="0.25">
      <c r="A194" s="46">
        <v>73152101</v>
      </c>
      <c r="B194" s="26" t="s">
        <v>89</v>
      </c>
      <c r="C194" s="26" t="s">
        <v>68</v>
      </c>
      <c r="D194" s="25">
        <v>12</v>
      </c>
      <c r="E194" s="27">
        <v>1790.99</v>
      </c>
      <c r="F194" s="28">
        <f>+Table4101470[[#This Row],[PRECIO UNITARIO ESTIMADO]]*Table4101470[[#This Row],[CANTIDAD TOTAL ESTIMADA]]</f>
        <v>21491.88</v>
      </c>
    </row>
    <row r="195" spans="1:6" ht="16.5" x14ac:dyDescent="0.25">
      <c r="A195" s="1"/>
      <c r="B195" s="1"/>
      <c r="C195" s="1"/>
      <c r="D195" s="1"/>
      <c r="E195" s="49" t="s">
        <v>40</v>
      </c>
      <c r="F195" s="50">
        <f>SUM(Table4101470[MONTO TOTAL ESTIMADO])</f>
        <v>60155.64</v>
      </c>
    </row>
    <row r="197" spans="1:6" ht="15.75" thickBot="1" x14ac:dyDescent="0.3"/>
    <row r="198" spans="1:6" ht="45.75" thickBot="1" x14ac:dyDescent="0.3">
      <c r="A198" s="37" t="s">
        <v>41</v>
      </c>
      <c r="B198" s="37" t="s">
        <v>42</v>
      </c>
      <c r="C198" s="37" t="s">
        <v>43</v>
      </c>
      <c r="D198" s="37" t="s">
        <v>44</v>
      </c>
      <c r="E198" s="37" t="s">
        <v>45</v>
      </c>
      <c r="F198" s="37" t="s">
        <v>46</v>
      </c>
    </row>
    <row r="199" spans="1:6" ht="58.5" thickBot="1" x14ac:dyDescent="0.3">
      <c r="A199" s="32" t="s">
        <v>90</v>
      </c>
      <c r="B199" s="43" t="s">
        <v>91</v>
      </c>
      <c r="C199" s="33" t="s">
        <v>92</v>
      </c>
      <c r="D199" s="32" t="s">
        <v>50</v>
      </c>
      <c r="E199" s="33" t="s">
        <v>51</v>
      </c>
      <c r="F199" s="33"/>
    </row>
    <row r="200" spans="1:6" ht="15.75" thickBot="1" x14ac:dyDescent="0.3">
      <c r="A200" s="126" t="s">
        <v>16</v>
      </c>
      <c r="B200" s="20" t="s">
        <v>17</v>
      </c>
      <c r="C200" s="21">
        <v>44958</v>
      </c>
      <c r="D200" s="126" t="s">
        <v>18</v>
      </c>
      <c r="E200" s="22" t="s">
        <v>19</v>
      </c>
      <c r="F200" s="23" t="s">
        <v>20</v>
      </c>
    </row>
    <row r="201" spans="1:6" ht="15.75" thickBot="1" x14ac:dyDescent="0.3">
      <c r="A201" s="127"/>
      <c r="B201" s="20" t="s">
        <v>21</v>
      </c>
      <c r="C201" s="20">
        <v>1</v>
      </c>
      <c r="D201" s="127"/>
      <c r="E201" s="22" t="s">
        <v>22</v>
      </c>
      <c r="F201" s="23" t="s">
        <v>23</v>
      </c>
    </row>
    <row r="202" spans="1:6" ht="15.75" thickBot="1" x14ac:dyDescent="0.3">
      <c r="A202" s="127"/>
      <c r="B202" s="20" t="s">
        <v>24</v>
      </c>
      <c r="C202" s="21">
        <v>44972</v>
      </c>
      <c r="D202" s="127"/>
      <c r="E202" s="22" t="s">
        <v>25</v>
      </c>
      <c r="F202" s="23"/>
    </row>
    <row r="203" spans="1:6" ht="15.75" thickBot="1" x14ac:dyDescent="0.3">
      <c r="A203" s="127"/>
      <c r="B203" s="20" t="s">
        <v>21</v>
      </c>
      <c r="C203" s="20">
        <v>1</v>
      </c>
      <c r="D203" s="127"/>
      <c r="E203" s="22" t="s">
        <v>26</v>
      </c>
      <c r="F203" s="23"/>
    </row>
    <row r="204" spans="1:6" ht="17.25" thickBot="1" x14ac:dyDescent="0.3">
      <c r="A204" s="1"/>
      <c r="B204" s="1"/>
      <c r="C204" s="1"/>
      <c r="D204" s="1"/>
      <c r="E204" s="1"/>
      <c r="F204" s="1"/>
    </row>
    <row r="205" spans="1:6" x14ac:dyDescent="0.25">
      <c r="A205" s="45" t="s">
        <v>27</v>
      </c>
      <c r="B205" s="45" t="s">
        <v>28</v>
      </c>
      <c r="C205" s="45" t="s">
        <v>29</v>
      </c>
      <c r="D205" s="45" t="s">
        <v>30</v>
      </c>
      <c r="E205" s="45" t="s">
        <v>31</v>
      </c>
      <c r="F205" s="45" t="s">
        <v>32</v>
      </c>
    </row>
    <row r="206" spans="1:6" x14ac:dyDescent="0.25">
      <c r="A206" s="46">
        <v>50201706</v>
      </c>
      <c r="B206" s="104" t="s">
        <v>93</v>
      </c>
      <c r="C206" s="26" t="s">
        <v>94</v>
      </c>
      <c r="D206" s="25">
        <v>60</v>
      </c>
      <c r="E206" s="27">
        <v>291</v>
      </c>
      <c r="F206" s="28">
        <f>+Table410141875[[#This Row],[PRECIO UNITARIO ESTIMADO]]*Table410141875[[#This Row],[CANTIDAD TOTAL ESTIMADA]]</f>
        <v>17460</v>
      </c>
    </row>
    <row r="207" spans="1:6" x14ac:dyDescent="0.25">
      <c r="A207" s="46">
        <v>50161814</v>
      </c>
      <c r="B207" s="51" t="s">
        <v>95</v>
      </c>
      <c r="C207" s="26" t="s">
        <v>94</v>
      </c>
      <c r="D207" s="2">
        <v>14</v>
      </c>
      <c r="E207" s="27">
        <v>500</v>
      </c>
      <c r="F207" s="28">
        <f>+Table410141875[[#This Row],[PRECIO UNITARIO ESTIMADO]]*Table410141875[[#This Row],[CANTIDAD TOTAL ESTIMADA]]</f>
        <v>7000</v>
      </c>
    </row>
    <row r="208" spans="1:6" s="110" customFormat="1" x14ac:dyDescent="0.25">
      <c r="A208" s="103">
        <v>50201707</v>
      </c>
      <c r="B208" s="119" t="s">
        <v>96</v>
      </c>
      <c r="C208" s="104" t="s">
        <v>94</v>
      </c>
      <c r="D208" s="2">
        <v>6</v>
      </c>
      <c r="E208" s="105">
        <v>450</v>
      </c>
      <c r="F208" s="57">
        <f>+Table410141875[[#This Row],[PRECIO UNITARIO ESTIMADO]]*Table410141875[[#This Row],[CANTIDAD TOTAL ESTIMADA]]</f>
        <v>2700</v>
      </c>
    </row>
    <row r="209" spans="1:6" x14ac:dyDescent="0.25">
      <c r="A209" s="46">
        <v>50161814</v>
      </c>
      <c r="B209" s="104" t="s">
        <v>97</v>
      </c>
      <c r="C209" s="26" t="s">
        <v>94</v>
      </c>
      <c r="D209" s="25">
        <v>13</v>
      </c>
      <c r="E209" s="27">
        <v>130</v>
      </c>
      <c r="F209" s="28">
        <f>+Table410141875[[#This Row],[PRECIO UNITARIO ESTIMADO]]*Table410141875[[#This Row],[CANTIDAD TOTAL ESTIMADA]]</f>
        <v>1690</v>
      </c>
    </row>
    <row r="210" spans="1:6" x14ac:dyDescent="0.25">
      <c r="A210" s="46">
        <v>50201707</v>
      </c>
      <c r="B210" s="104" t="s">
        <v>98</v>
      </c>
      <c r="C210" s="26" t="s">
        <v>99</v>
      </c>
      <c r="D210" s="25">
        <v>30</v>
      </c>
      <c r="E210" s="27">
        <v>270</v>
      </c>
      <c r="F210" s="28">
        <f>+Table410141875[[#This Row],[PRECIO UNITARIO ESTIMADO]]*Table410141875[[#This Row],[CANTIDAD TOTAL ESTIMADA]]</f>
        <v>8100</v>
      </c>
    </row>
    <row r="211" spans="1:6" x14ac:dyDescent="0.25">
      <c r="A211" s="46">
        <v>50201714</v>
      </c>
      <c r="B211" s="104" t="s">
        <v>100</v>
      </c>
      <c r="C211" s="26" t="s">
        <v>68</v>
      </c>
      <c r="D211" s="25">
        <v>10</v>
      </c>
      <c r="E211" s="27">
        <v>311</v>
      </c>
      <c r="F211" s="28">
        <f>+Table410141875[[#This Row],[PRECIO UNITARIO ESTIMADO]]*Table410141875[[#This Row],[CANTIDAD TOTAL ESTIMADA]]</f>
        <v>3110</v>
      </c>
    </row>
    <row r="212" spans="1:6" x14ac:dyDescent="0.25">
      <c r="A212" s="46">
        <v>50202301</v>
      </c>
      <c r="B212" s="104" t="s">
        <v>101</v>
      </c>
      <c r="C212" s="52" t="s">
        <v>94</v>
      </c>
      <c r="D212" s="53">
        <v>2</v>
      </c>
      <c r="E212" s="54">
        <v>1052</v>
      </c>
      <c r="F212" s="55">
        <f>+Table410141875[[#This Row],[PRECIO UNITARIO ESTIMADO]]*Table410141875[[#This Row],[CANTIDAD TOTAL ESTIMADA]]</f>
        <v>2104</v>
      </c>
    </row>
    <row r="213" spans="1:6" x14ac:dyDescent="0.25">
      <c r="A213" s="46">
        <v>50161511</v>
      </c>
      <c r="B213" s="104" t="s">
        <v>102</v>
      </c>
      <c r="C213" s="52" t="s">
        <v>103</v>
      </c>
      <c r="D213" s="53">
        <v>6</v>
      </c>
      <c r="E213" s="54">
        <v>600</v>
      </c>
      <c r="F213" s="55">
        <f>+Table410141875[[#This Row],[PRECIO UNITARIO ESTIMADO]]*Table410141875[[#This Row],[CANTIDAD TOTAL ESTIMADA]]</f>
        <v>3600</v>
      </c>
    </row>
    <row r="214" spans="1:6" x14ac:dyDescent="0.25">
      <c r="A214" s="46">
        <v>50131701</v>
      </c>
      <c r="B214" s="104" t="s">
        <v>104</v>
      </c>
      <c r="C214" s="52" t="s">
        <v>68</v>
      </c>
      <c r="D214" s="53">
        <v>4</v>
      </c>
      <c r="E214" s="54">
        <v>100</v>
      </c>
      <c r="F214" s="55">
        <f>+Table410141875[[#This Row],[PRECIO UNITARIO ESTIMADO]]*Table410141875[[#This Row],[CANTIDAD TOTAL ESTIMADA]]</f>
        <v>400</v>
      </c>
    </row>
    <row r="215" spans="1:6" ht="16.5" x14ac:dyDescent="0.25">
      <c r="A215" s="1"/>
      <c r="B215" s="1"/>
      <c r="C215" s="1"/>
      <c r="D215" s="1"/>
      <c r="E215" s="49" t="s">
        <v>40</v>
      </c>
      <c r="F215" s="50">
        <f>SUM(Table410141875[MONTO TOTAL ESTIMADO])</f>
        <v>46164</v>
      </c>
    </row>
    <row r="217" spans="1:6" ht="15.75" thickBot="1" x14ac:dyDescent="0.3"/>
    <row r="218" spans="1:6" ht="45.75" thickBot="1" x14ac:dyDescent="0.3">
      <c r="A218" s="37" t="s">
        <v>41</v>
      </c>
      <c r="B218" s="37" t="s">
        <v>42</v>
      </c>
      <c r="C218" s="37" t="s">
        <v>43</v>
      </c>
      <c r="D218" s="37" t="s">
        <v>44</v>
      </c>
      <c r="E218" s="37" t="s">
        <v>45</v>
      </c>
      <c r="F218" s="37" t="s">
        <v>46</v>
      </c>
    </row>
    <row r="219" spans="1:6" ht="58.5" thickBot="1" x14ac:dyDescent="0.3">
      <c r="A219" s="32" t="s">
        <v>105</v>
      </c>
      <c r="B219" s="43" t="s">
        <v>91</v>
      </c>
      <c r="C219" s="33" t="s">
        <v>92</v>
      </c>
      <c r="D219" s="32" t="s">
        <v>50</v>
      </c>
      <c r="E219" s="33" t="s">
        <v>51</v>
      </c>
      <c r="F219" s="33"/>
    </row>
    <row r="220" spans="1:6" ht="15.75" thickBot="1" x14ac:dyDescent="0.3">
      <c r="A220" s="126" t="s">
        <v>16</v>
      </c>
      <c r="B220" s="20" t="s">
        <v>17</v>
      </c>
      <c r="C220" s="21">
        <v>45020</v>
      </c>
      <c r="D220" s="126" t="s">
        <v>18</v>
      </c>
      <c r="E220" s="22" t="s">
        <v>19</v>
      </c>
      <c r="F220" s="23" t="s">
        <v>20</v>
      </c>
    </row>
    <row r="221" spans="1:6" ht="15.75" thickBot="1" x14ac:dyDescent="0.3">
      <c r="A221" s="127"/>
      <c r="B221" s="20" t="s">
        <v>21</v>
      </c>
      <c r="C221" s="20">
        <v>2</v>
      </c>
      <c r="D221" s="127"/>
      <c r="E221" s="22" t="s">
        <v>22</v>
      </c>
      <c r="F221" s="23" t="s">
        <v>23</v>
      </c>
    </row>
    <row r="222" spans="1:6" ht="15.75" thickBot="1" x14ac:dyDescent="0.3">
      <c r="A222" s="127"/>
      <c r="B222" s="20" t="s">
        <v>24</v>
      </c>
      <c r="C222" s="20" t="s">
        <v>106</v>
      </c>
      <c r="D222" s="127"/>
      <c r="E222" s="22" t="s">
        <v>25</v>
      </c>
      <c r="F222" s="23"/>
    </row>
    <row r="223" spans="1:6" ht="15.75" thickBot="1" x14ac:dyDescent="0.3">
      <c r="A223" s="127"/>
      <c r="B223" s="20" t="s">
        <v>21</v>
      </c>
      <c r="C223" s="20">
        <v>2</v>
      </c>
      <c r="D223" s="127"/>
      <c r="E223" s="22" t="s">
        <v>26</v>
      </c>
      <c r="F223" s="23"/>
    </row>
    <row r="224" spans="1:6" ht="17.25" thickBot="1" x14ac:dyDescent="0.3">
      <c r="A224" s="1"/>
      <c r="B224" s="1"/>
      <c r="C224" s="1"/>
      <c r="D224" s="1"/>
      <c r="E224" s="1"/>
      <c r="F224" s="1"/>
    </row>
    <row r="225" spans="1:6" x14ac:dyDescent="0.25">
      <c r="A225" s="45" t="s">
        <v>27</v>
      </c>
      <c r="B225" s="45" t="s">
        <v>28</v>
      </c>
      <c r="C225" s="45" t="s">
        <v>29</v>
      </c>
      <c r="D225" s="45" t="s">
        <v>30</v>
      </c>
      <c r="E225" s="45" t="s">
        <v>31</v>
      </c>
      <c r="F225" s="45" t="s">
        <v>32</v>
      </c>
    </row>
    <row r="226" spans="1:6" x14ac:dyDescent="0.25">
      <c r="A226" s="46">
        <v>50201706</v>
      </c>
      <c r="B226" s="26" t="s">
        <v>93</v>
      </c>
      <c r="C226" s="26" t="s">
        <v>94</v>
      </c>
      <c r="D226" s="25">
        <v>60</v>
      </c>
      <c r="E226" s="27">
        <v>291</v>
      </c>
      <c r="F226" s="28">
        <f>Table41014181976[[#This Row],[PRECIO UNITARIO ESTIMADO]]*Table41014181976[[#This Row],[CANTIDAD TOTAL ESTIMADA]]</f>
        <v>17460</v>
      </c>
    </row>
    <row r="227" spans="1:6" x14ac:dyDescent="0.25">
      <c r="A227" s="46">
        <v>50161814</v>
      </c>
      <c r="B227" s="51" t="s">
        <v>95</v>
      </c>
      <c r="C227" s="26" t="s">
        <v>94</v>
      </c>
      <c r="D227" s="2">
        <v>14</v>
      </c>
      <c r="E227" s="27">
        <v>500</v>
      </c>
      <c r="F227" s="28">
        <f>Table41014181976[[#This Row],[PRECIO UNITARIO ESTIMADO]]*Table41014181976[[#This Row],[CANTIDAD TOTAL ESTIMADA]]</f>
        <v>7000</v>
      </c>
    </row>
    <row r="228" spans="1:6" s="110" customFormat="1" x14ac:dyDescent="0.25">
      <c r="A228" s="103">
        <v>50201707</v>
      </c>
      <c r="B228" s="119" t="s">
        <v>96</v>
      </c>
      <c r="C228" s="104" t="s">
        <v>94</v>
      </c>
      <c r="D228" s="2">
        <v>6</v>
      </c>
      <c r="E228" s="105">
        <v>450</v>
      </c>
      <c r="F228" s="57">
        <f>Table41014181976[[#This Row],[PRECIO UNITARIO ESTIMADO]]*Table41014181976[[#This Row],[CANTIDAD TOTAL ESTIMADA]]</f>
        <v>2700</v>
      </c>
    </row>
    <row r="229" spans="1:6" x14ac:dyDescent="0.25">
      <c r="A229" s="46">
        <v>50161814</v>
      </c>
      <c r="B229" s="26" t="s">
        <v>97</v>
      </c>
      <c r="C229" s="26" t="s">
        <v>94</v>
      </c>
      <c r="D229" s="25">
        <v>13</v>
      </c>
      <c r="E229" s="27">
        <v>130</v>
      </c>
      <c r="F229" s="28">
        <f>Table41014181976[[#This Row],[PRECIO UNITARIO ESTIMADO]]*Table41014181976[[#This Row],[CANTIDAD TOTAL ESTIMADA]]</f>
        <v>1690</v>
      </c>
    </row>
    <row r="230" spans="1:6" x14ac:dyDescent="0.25">
      <c r="A230" s="46">
        <v>50201707</v>
      </c>
      <c r="B230" s="26" t="s">
        <v>98</v>
      </c>
      <c r="C230" s="26" t="s">
        <v>99</v>
      </c>
      <c r="D230" s="25">
        <v>30</v>
      </c>
      <c r="E230" s="27">
        <v>270</v>
      </c>
      <c r="F230" s="28">
        <f>Table41014181976[[#This Row],[PRECIO UNITARIO ESTIMADO]]*Table41014181976[[#This Row],[CANTIDAD TOTAL ESTIMADA]]</f>
        <v>8100</v>
      </c>
    </row>
    <row r="231" spans="1:6" x14ac:dyDescent="0.25">
      <c r="A231" s="46">
        <v>50201714</v>
      </c>
      <c r="B231" s="26" t="s">
        <v>100</v>
      </c>
      <c r="C231" s="26" t="s">
        <v>68</v>
      </c>
      <c r="D231" s="25">
        <v>10</v>
      </c>
      <c r="E231" s="27">
        <v>311</v>
      </c>
      <c r="F231" s="28">
        <f>Table41014181976[[#This Row],[PRECIO UNITARIO ESTIMADO]]*Table41014181976[[#This Row],[CANTIDAD TOTAL ESTIMADA]]</f>
        <v>3110</v>
      </c>
    </row>
    <row r="232" spans="1:6" x14ac:dyDescent="0.25">
      <c r="A232" s="46">
        <v>50202301</v>
      </c>
      <c r="B232" s="52" t="s">
        <v>101</v>
      </c>
      <c r="C232" s="52" t="s">
        <v>94</v>
      </c>
      <c r="D232" s="53">
        <v>2</v>
      </c>
      <c r="E232" s="54">
        <v>1052</v>
      </c>
      <c r="F232" s="55">
        <f>Table41014181976[[#This Row],[PRECIO UNITARIO ESTIMADO]]*Table41014181976[[#This Row],[CANTIDAD TOTAL ESTIMADA]]</f>
        <v>2104</v>
      </c>
    </row>
    <row r="233" spans="1:6" x14ac:dyDescent="0.25">
      <c r="A233" s="46">
        <v>50161511</v>
      </c>
      <c r="B233" s="52" t="s">
        <v>102</v>
      </c>
      <c r="C233" s="52" t="s">
        <v>103</v>
      </c>
      <c r="D233" s="53">
        <v>6</v>
      </c>
      <c r="E233" s="54">
        <v>600</v>
      </c>
      <c r="F233" s="55">
        <f>Table41014181976[[#This Row],[PRECIO UNITARIO ESTIMADO]]*Table41014181976[[#This Row],[CANTIDAD TOTAL ESTIMADA]]</f>
        <v>3600</v>
      </c>
    </row>
    <row r="234" spans="1:6" x14ac:dyDescent="0.25">
      <c r="A234" s="46">
        <v>50131701</v>
      </c>
      <c r="B234" s="52" t="s">
        <v>104</v>
      </c>
      <c r="C234" s="52" t="s">
        <v>68</v>
      </c>
      <c r="D234" s="53">
        <v>4</v>
      </c>
      <c r="E234" s="54">
        <v>100</v>
      </c>
      <c r="F234" s="55">
        <f>Table41014181976[[#This Row],[PRECIO UNITARIO ESTIMADO]]*Table41014181976[[#This Row],[CANTIDAD TOTAL ESTIMADA]]</f>
        <v>400</v>
      </c>
    </row>
    <row r="235" spans="1:6" ht="16.5" x14ac:dyDescent="0.25">
      <c r="A235" s="1"/>
      <c r="B235" s="1"/>
      <c r="C235" s="1"/>
      <c r="D235" s="1"/>
      <c r="E235" s="49" t="s">
        <v>40</v>
      </c>
      <c r="F235" s="50">
        <f>SUM(Table41014181976[MONTO TOTAL ESTIMADO])</f>
        <v>46164</v>
      </c>
    </row>
    <row r="237" spans="1:6" ht="15.75" thickBot="1" x14ac:dyDescent="0.3"/>
    <row r="238" spans="1:6" ht="45.75" thickBot="1" x14ac:dyDescent="0.3">
      <c r="A238" s="37" t="s">
        <v>41</v>
      </c>
      <c r="B238" s="37" t="s">
        <v>42</v>
      </c>
      <c r="C238" s="37" t="s">
        <v>43</v>
      </c>
      <c r="D238" s="37" t="s">
        <v>44</v>
      </c>
      <c r="E238" s="37" t="s">
        <v>45</v>
      </c>
      <c r="F238" s="37" t="s">
        <v>46</v>
      </c>
    </row>
    <row r="239" spans="1:6" ht="58.5" thickBot="1" x14ac:dyDescent="0.3">
      <c r="A239" s="32" t="s">
        <v>107</v>
      </c>
      <c r="B239" s="43" t="s">
        <v>91</v>
      </c>
      <c r="C239" s="33" t="s">
        <v>92</v>
      </c>
      <c r="D239" s="32" t="s">
        <v>50</v>
      </c>
      <c r="E239" s="33" t="s">
        <v>51</v>
      </c>
      <c r="F239" s="33"/>
    </row>
    <row r="240" spans="1:6" ht="15.75" thickBot="1" x14ac:dyDescent="0.3">
      <c r="A240" s="126" t="s">
        <v>16</v>
      </c>
      <c r="B240" s="20" t="s">
        <v>17</v>
      </c>
      <c r="C240" s="21">
        <v>45114</v>
      </c>
      <c r="D240" s="126" t="s">
        <v>18</v>
      </c>
      <c r="E240" s="22" t="s">
        <v>19</v>
      </c>
      <c r="F240" s="23" t="s">
        <v>20</v>
      </c>
    </row>
    <row r="241" spans="1:6" ht="15.75" thickBot="1" x14ac:dyDescent="0.3">
      <c r="A241" s="127"/>
      <c r="B241" s="20" t="s">
        <v>21</v>
      </c>
      <c r="C241" s="20">
        <v>3</v>
      </c>
      <c r="D241" s="127"/>
      <c r="E241" s="22" t="s">
        <v>22</v>
      </c>
      <c r="F241" s="23" t="s">
        <v>23</v>
      </c>
    </row>
    <row r="242" spans="1:6" ht="15.75" thickBot="1" x14ac:dyDescent="0.3">
      <c r="A242" s="127"/>
      <c r="B242" s="20" t="s">
        <v>24</v>
      </c>
      <c r="C242" s="20" t="s">
        <v>108</v>
      </c>
      <c r="D242" s="127"/>
      <c r="E242" s="22" t="s">
        <v>25</v>
      </c>
      <c r="F242" s="23"/>
    </row>
    <row r="243" spans="1:6" ht="15.75" thickBot="1" x14ac:dyDescent="0.3">
      <c r="A243" s="127"/>
      <c r="B243" s="20" t="s">
        <v>21</v>
      </c>
      <c r="C243" s="20">
        <v>3</v>
      </c>
      <c r="D243" s="127"/>
      <c r="E243" s="22" t="s">
        <v>26</v>
      </c>
      <c r="F243" s="23"/>
    </row>
    <row r="244" spans="1:6" ht="17.25" thickBot="1" x14ac:dyDescent="0.3">
      <c r="A244" s="1"/>
      <c r="B244" s="1"/>
      <c r="C244" s="1"/>
      <c r="D244" s="1"/>
      <c r="E244" s="1"/>
      <c r="F244" s="1"/>
    </row>
    <row r="245" spans="1:6" x14ac:dyDescent="0.25">
      <c r="A245" s="45" t="s">
        <v>27</v>
      </c>
      <c r="B245" s="45" t="s">
        <v>28</v>
      </c>
      <c r="C245" s="45" t="s">
        <v>29</v>
      </c>
      <c r="D245" s="45" t="s">
        <v>30</v>
      </c>
      <c r="E245" s="45" t="s">
        <v>31</v>
      </c>
      <c r="F245" s="45" t="s">
        <v>32</v>
      </c>
    </row>
    <row r="246" spans="1:6" x14ac:dyDescent="0.25">
      <c r="A246" s="46">
        <v>50201706</v>
      </c>
      <c r="B246" s="26" t="s">
        <v>93</v>
      </c>
      <c r="C246" s="26" t="s">
        <v>94</v>
      </c>
      <c r="D246" s="25">
        <v>60</v>
      </c>
      <c r="E246" s="27">
        <v>291</v>
      </c>
      <c r="F246" s="28">
        <f>Table4101418192077[[#This Row],[CANTIDAD TOTAL ESTIMADA]]*Table4101418192077[[#This Row],[PRECIO UNITARIO ESTIMADO]]</f>
        <v>17460</v>
      </c>
    </row>
    <row r="247" spans="1:6" x14ac:dyDescent="0.25">
      <c r="A247" s="46">
        <v>50161814</v>
      </c>
      <c r="B247" s="51" t="s">
        <v>95</v>
      </c>
      <c r="C247" s="26" t="s">
        <v>94</v>
      </c>
      <c r="D247" s="2">
        <v>14</v>
      </c>
      <c r="E247" s="27">
        <v>500</v>
      </c>
      <c r="F247" s="28">
        <f>Table4101418192077[[#This Row],[CANTIDAD TOTAL ESTIMADA]]*Table4101418192077[[#This Row],[PRECIO UNITARIO ESTIMADO]]</f>
        <v>7000</v>
      </c>
    </row>
    <row r="248" spans="1:6" s="110" customFormat="1" x14ac:dyDescent="0.25">
      <c r="A248" s="103">
        <v>50201707</v>
      </c>
      <c r="B248" s="119" t="s">
        <v>96</v>
      </c>
      <c r="C248" s="104" t="s">
        <v>94</v>
      </c>
      <c r="D248" s="2">
        <v>6</v>
      </c>
      <c r="E248" s="105">
        <v>450</v>
      </c>
      <c r="F248" s="57">
        <f>Table4101418192077[[#This Row],[CANTIDAD TOTAL ESTIMADA]]*Table4101418192077[[#This Row],[PRECIO UNITARIO ESTIMADO]]</f>
        <v>2700</v>
      </c>
    </row>
    <row r="249" spans="1:6" x14ac:dyDescent="0.25">
      <c r="A249" s="46">
        <v>50161814</v>
      </c>
      <c r="B249" s="26" t="s">
        <v>97</v>
      </c>
      <c r="C249" s="26" t="s">
        <v>94</v>
      </c>
      <c r="D249" s="25">
        <v>13</v>
      </c>
      <c r="E249" s="27">
        <v>130</v>
      </c>
      <c r="F249" s="28">
        <f>Table4101418192077[[#This Row],[CANTIDAD TOTAL ESTIMADA]]*Table4101418192077[[#This Row],[PRECIO UNITARIO ESTIMADO]]</f>
        <v>1690</v>
      </c>
    </row>
    <row r="250" spans="1:6" x14ac:dyDescent="0.25">
      <c r="A250" s="46">
        <v>50201707</v>
      </c>
      <c r="B250" s="26" t="s">
        <v>98</v>
      </c>
      <c r="C250" s="26" t="s">
        <v>99</v>
      </c>
      <c r="D250" s="25">
        <v>30</v>
      </c>
      <c r="E250" s="27">
        <v>270</v>
      </c>
      <c r="F250" s="28">
        <f>Table4101418192077[[#This Row],[CANTIDAD TOTAL ESTIMADA]]*Table4101418192077[[#This Row],[PRECIO UNITARIO ESTIMADO]]</f>
        <v>8100</v>
      </c>
    </row>
    <row r="251" spans="1:6" x14ac:dyDescent="0.25">
      <c r="A251" s="46">
        <v>50201714</v>
      </c>
      <c r="B251" s="26" t="s">
        <v>100</v>
      </c>
      <c r="C251" s="26" t="s">
        <v>68</v>
      </c>
      <c r="D251" s="25">
        <v>10</v>
      </c>
      <c r="E251" s="27">
        <v>311</v>
      </c>
      <c r="F251" s="28">
        <f>Table4101418192077[[#This Row],[CANTIDAD TOTAL ESTIMADA]]*Table4101418192077[[#This Row],[PRECIO UNITARIO ESTIMADO]]</f>
        <v>3110</v>
      </c>
    </row>
    <row r="252" spans="1:6" x14ac:dyDescent="0.25">
      <c r="A252" s="46">
        <v>50202301</v>
      </c>
      <c r="B252" s="52" t="s">
        <v>101</v>
      </c>
      <c r="C252" s="52" t="s">
        <v>94</v>
      </c>
      <c r="D252" s="53">
        <v>2</v>
      </c>
      <c r="E252" s="54">
        <v>1052</v>
      </c>
      <c r="F252" s="55">
        <f>Table4101418192077[[#This Row],[CANTIDAD TOTAL ESTIMADA]]*Table4101418192077[[#This Row],[PRECIO UNITARIO ESTIMADO]]</f>
        <v>2104</v>
      </c>
    </row>
    <row r="253" spans="1:6" x14ac:dyDescent="0.25">
      <c r="A253" s="46">
        <v>50161511</v>
      </c>
      <c r="B253" s="52" t="s">
        <v>102</v>
      </c>
      <c r="C253" s="52" t="s">
        <v>103</v>
      </c>
      <c r="D253" s="53">
        <v>6</v>
      </c>
      <c r="E253" s="54">
        <v>600</v>
      </c>
      <c r="F253" s="55">
        <f>Table4101418192077[[#This Row],[CANTIDAD TOTAL ESTIMADA]]*Table4101418192077[[#This Row],[PRECIO UNITARIO ESTIMADO]]</f>
        <v>3600</v>
      </c>
    </row>
    <row r="254" spans="1:6" x14ac:dyDescent="0.25">
      <c r="A254" s="46">
        <v>50131701</v>
      </c>
      <c r="B254" s="52" t="s">
        <v>104</v>
      </c>
      <c r="C254" s="52" t="s">
        <v>68</v>
      </c>
      <c r="D254" s="53">
        <v>4</v>
      </c>
      <c r="E254" s="54">
        <v>100</v>
      </c>
      <c r="F254" s="55">
        <f>Table4101418192077[[#This Row],[CANTIDAD TOTAL ESTIMADA]]*Table4101418192077[[#This Row],[PRECIO UNITARIO ESTIMADO]]</f>
        <v>400</v>
      </c>
    </row>
    <row r="255" spans="1:6" ht="16.5" x14ac:dyDescent="0.25">
      <c r="A255" s="1"/>
      <c r="B255" s="1"/>
      <c r="C255" s="1"/>
      <c r="D255" s="1"/>
      <c r="E255" s="49" t="s">
        <v>40</v>
      </c>
      <c r="F255" s="50">
        <f>SUBTOTAL(109,Table4101418192077[MONTO TOTAL ESTIMADO])</f>
        <v>46164</v>
      </c>
    </row>
    <row r="257" spans="1:6" ht="15.75" thickBot="1" x14ac:dyDescent="0.3"/>
    <row r="258" spans="1:6" ht="45.75" thickBot="1" x14ac:dyDescent="0.3">
      <c r="A258" s="37" t="s">
        <v>41</v>
      </c>
      <c r="B258" s="37" t="s">
        <v>42</v>
      </c>
      <c r="C258" s="37" t="s">
        <v>43</v>
      </c>
      <c r="D258" s="37" t="s">
        <v>44</v>
      </c>
      <c r="E258" s="37" t="s">
        <v>45</v>
      </c>
      <c r="F258" s="37" t="s">
        <v>46</v>
      </c>
    </row>
    <row r="259" spans="1:6" ht="58.5" thickBot="1" x14ac:dyDescent="0.3">
      <c r="A259" s="32" t="s">
        <v>109</v>
      </c>
      <c r="B259" s="43" t="s">
        <v>91</v>
      </c>
      <c r="C259" s="33" t="s">
        <v>92</v>
      </c>
      <c r="D259" s="32" t="s">
        <v>50</v>
      </c>
      <c r="E259" s="33" t="s">
        <v>51</v>
      </c>
      <c r="F259" s="33"/>
    </row>
    <row r="260" spans="1:6" ht="15.75" thickBot="1" x14ac:dyDescent="0.3">
      <c r="A260" s="126" t="s">
        <v>16</v>
      </c>
      <c r="B260" s="20" t="s">
        <v>17</v>
      </c>
      <c r="C260" s="21">
        <v>45209</v>
      </c>
      <c r="D260" s="126" t="s">
        <v>18</v>
      </c>
      <c r="E260" s="22" t="s">
        <v>19</v>
      </c>
      <c r="F260" s="23" t="s">
        <v>20</v>
      </c>
    </row>
    <row r="261" spans="1:6" ht="15.75" thickBot="1" x14ac:dyDescent="0.3">
      <c r="A261" s="127"/>
      <c r="B261" s="20" t="s">
        <v>21</v>
      </c>
      <c r="C261" s="20">
        <v>4</v>
      </c>
      <c r="D261" s="127"/>
      <c r="E261" s="22" t="s">
        <v>22</v>
      </c>
      <c r="F261" s="23" t="s">
        <v>23</v>
      </c>
    </row>
    <row r="262" spans="1:6" ht="15.75" thickBot="1" x14ac:dyDescent="0.3">
      <c r="A262" s="127"/>
      <c r="B262" s="20" t="s">
        <v>24</v>
      </c>
      <c r="C262" s="20" t="s">
        <v>86</v>
      </c>
      <c r="D262" s="127"/>
      <c r="E262" s="22" t="s">
        <v>25</v>
      </c>
      <c r="F262" s="23"/>
    </row>
    <row r="263" spans="1:6" ht="15.75" thickBot="1" x14ac:dyDescent="0.3">
      <c r="A263" s="127"/>
      <c r="B263" s="20" t="s">
        <v>21</v>
      </c>
      <c r="C263" s="20">
        <v>4</v>
      </c>
      <c r="D263" s="127"/>
      <c r="E263" s="22" t="s">
        <v>26</v>
      </c>
      <c r="F263" s="23"/>
    </row>
    <row r="264" spans="1:6" ht="17.25" thickBot="1" x14ac:dyDescent="0.3">
      <c r="A264" s="1"/>
      <c r="B264" s="1"/>
      <c r="C264" s="1"/>
      <c r="D264" s="1"/>
      <c r="E264" s="1"/>
      <c r="F264" s="1"/>
    </row>
    <row r="265" spans="1:6" x14ac:dyDescent="0.25">
      <c r="A265" s="45" t="s">
        <v>27</v>
      </c>
      <c r="B265" s="45" t="s">
        <v>28</v>
      </c>
      <c r="C265" s="45" t="s">
        <v>29</v>
      </c>
      <c r="D265" s="45" t="s">
        <v>30</v>
      </c>
      <c r="E265" s="45" t="s">
        <v>31</v>
      </c>
      <c r="F265" s="45" t="s">
        <v>32</v>
      </c>
    </row>
    <row r="266" spans="1:6" x14ac:dyDescent="0.25">
      <c r="A266" s="46">
        <v>50201706</v>
      </c>
      <c r="B266" s="26" t="s">
        <v>93</v>
      </c>
      <c r="C266" s="26" t="s">
        <v>94</v>
      </c>
      <c r="D266" s="25">
        <v>60</v>
      </c>
      <c r="E266" s="27">
        <v>291</v>
      </c>
      <c r="F266" s="56">
        <f>+Table410141819202178[[#This Row],[PRECIO UNITARIO ESTIMADO]]*Table410141819202178[[#This Row],[CANTIDAD TOTAL ESTIMADA]]</f>
        <v>17460</v>
      </c>
    </row>
    <row r="267" spans="1:6" x14ac:dyDescent="0.25">
      <c r="A267" s="46">
        <v>50161814</v>
      </c>
      <c r="B267" s="51" t="s">
        <v>95</v>
      </c>
      <c r="C267" s="26" t="s">
        <v>94</v>
      </c>
      <c r="D267" s="2">
        <v>14</v>
      </c>
      <c r="E267" s="27">
        <v>500</v>
      </c>
      <c r="F267" s="56">
        <f>+Table410141819202178[[#This Row],[PRECIO UNITARIO ESTIMADO]]*Table410141819202178[[#This Row],[CANTIDAD TOTAL ESTIMADA]]</f>
        <v>7000</v>
      </c>
    </row>
    <row r="268" spans="1:6" s="110" customFormat="1" x14ac:dyDescent="0.25">
      <c r="A268" s="103">
        <v>50201707</v>
      </c>
      <c r="B268" s="119" t="s">
        <v>96</v>
      </c>
      <c r="C268" s="104" t="s">
        <v>94</v>
      </c>
      <c r="D268" s="2">
        <v>6</v>
      </c>
      <c r="E268" s="105">
        <v>450</v>
      </c>
      <c r="F268" s="57">
        <f>+Table410141819202178[[#This Row],[PRECIO UNITARIO ESTIMADO]]*Table410141819202178[[#This Row],[CANTIDAD TOTAL ESTIMADA]]</f>
        <v>2700</v>
      </c>
    </row>
    <row r="269" spans="1:6" x14ac:dyDescent="0.25">
      <c r="A269" s="46">
        <v>50161814</v>
      </c>
      <c r="B269" s="26" t="s">
        <v>97</v>
      </c>
      <c r="C269" s="26" t="s">
        <v>94</v>
      </c>
      <c r="D269" s="25">
        <v>13</v>
      </c>
      <c r="E269" s="27">
        <v>130</v>
      </c>
      <c r="F269" s="28">
        <f>+Table410141819202178[[#This Row],[PRECIO UNITARIO ESTIMADO]]*Table410141819202178[[#This Row],[CANTIDAD TOTAL ESTIMADA]]</f>
        <v>1690</v>
      </c>
    </row>
    <row r="270" spans="1:6" x14ac:dyDescent="0.25">
      <c r="A270" s="46">
        <v>50201707</v>
      </c>
      <c r="B270" s="26" t="s">
        <v>98</v>
      </c>
      <c r="C270" s="26" t="s">
        <v>99</v>
      </c>
      <c r="D270" s="25">
        <v>30</v>
      </c>
      <c r="E270" s="27">
        <v>270</v>
      </c>
      <c r="F270" s="28">
        <f>+Table410141819202178[[#This Row],[PRECIO UNITARIO ESTIMADO]]*Table410141819202178[[#This Row],[CANTIDAD TOTAL ESTIMADA]]</f>
        <v>8100</v>
      </c>
    </row>
    <row r="271" spans="1:6" x14ac:dyDescent="0.25">
      <c r="A271" s="46">
        <v>50201714</v>
      </c>
      <c r="B271" s="26" t="s">
        <v>100</v>
      </c>
      <c r="C271" s="26" t="s">
        <v>68</v>
      </c>
      <c r="D271" s="25">
        <v>10</v>
      </c>
      <c r="E271" s="27">
        <v>311</v>
      </c>
      <c r="F271" s="28">
        <f>+Table410141819202178[[#This Row],[PRECIO UNITARIO ESTIMADO]]*Table410141819202178[[#This Row],[CANTIDAD TOTAL ESTIMADA]]</f>
        <v>3110</v>
      </c>
    </row>
    <row r="272" spans="1:6" x14ac:dyDescent="0.25">
      <c r="A272" s="46">
        <v>50202301</v>
      </c>
      <c r="B272" s="52" t="s">
        <v>101</v>
      </c>
      <c r="C272" s="52" t="s">
        <v>94</v>
      </c>
      <c r="D272" s="53">
        <v>2</v>
      </c>
      <c r="E272" s="54">
        <v>1052</v>
      </c>
      <c r="F272" s="55">
        <f>+Table410141819202178[[#This Row],[PRECIO UNITARIO ESTIMADO]]*Table410141819202178[[#This Row],[CANTIDAD TOTAL ESTIMADA]]</f>
        <v>2104</v>
      </c>
    </row>
    <row r="273" spans="1:6" x14ac:dyDescent="0.25">
      <c r="A273" s="46">
        <v>50161511</v>
      </c>
      <c r="B273" s="52" t="s">
        <v>102</v>
      </c>
      <c r="C273" s="52" t="s">
        <v>103</v>
      </c>
      <c r="D273" s="53">
        <v>6</v>
      </c>
      <c r="E273" s="54">
        <v>600</v>
      </c>
      <c r="F273" s="55">
        <f>+Table410141819202178[[#This Row],[PRECIO UNITARIO ESTIMADO]]*Table410141819202178[[#This Row],[CANTIDAD TOTAL ESTIMADA]]</f>
        <v>3600</v>
      </c>
    </row>
    <row r="274" spans="1:6" x14ac:dyDescent="0.25">
      <c r="A274" s="46">
        <v>50131701</v>
      </c>
      <c r="B274" s="52" t="s">
        <v>104</v>
      </c>
      <c r="C274" s="52" t="s">
        <v>68</v>
      </c>
      <c r="D274" s="53">
        <v>4</v>
      </c>
      <c r="E274" s="54">
        <v>100</v>
      </c>
      <c r="F274" s="55">
        <f>+Table410141819202178[[#This Row],[PRECIO UNITARIO ESTIMADO]]*Table410141819202178[[#This Row],[CANTIDAD TOTAL ESTIMADA]]</f>
        <v>400</v>
      </c>
    </row>
    <row r="275" spans="1:6" ht="16.5" x14ac:dyDescent="0.25">
      <c r="A275" s="1"/>
      <c r="B275" s="1"/>
      <c r="C275" s="1"/>
      <c r="D275" s="1"/>
      <c r="E275" s="49" t="s">
        <v>40</v>
      </c>
      <c r="F275" s="50">
        <f>SUBTOTAL(109,Table410141819202178[MONTO TOTAL ESTIMADO])</f>
        <v>46164</v>
      </c>
    </row>
    <row r="277" spans="1:6" ht="15.75" thickBot="1" x14ac:dyDescent="0.3"/>
    <row r="278" spans="1:6" ht="45.75" thickBot="1" x14ac:dyDescent="0.3">
      <c r="A278" s="37" t="s">
        <v>41</v>
      </c>
      <c r="B278" s="37" t="s">
        <v>42</v>
      </c>
      <c r="C278" s="37" t="s">
        <v>43</v>
      </c>
      <c r="D278" s="37" t="s">
        <v>44</v>
      </c>
      <c r="E278" s="37" t="s">
        <v>45</v>
      </c>
      <c r="F278" s="37" t="s">
        <v>46</v>
      </c>
    </row>
    <row r="279" spans="1:6" ht="58.5" thickBot="1" x14ac:dyDescent="0.3">
      <c r="A279" s="32" t="s">
        <v>110</v>
      </c>
      <c r="B279" s="43" t="s">
        <v>91</v>
      </c>
      <c r="C279" s="33" t="s">
        <v>92</v>
      </c>
      <c r="D279" s="32" t="s">
        <v>50</v>
      </c>
      <c r="E279" s="33" t="s">
        <v>51</v>
      </c>
      <c r="F279" s="33"/>
    </row>
    <row r="280" spans="1:6" ht="15.75" thickBot="1" x14ac:dyDescent="0.3">
      <c r="A280" s="126" t="s">
        <v>16</v>
      </c>
      <c r="B280" s="20" t="s">
        <v>17</v>
      </c>
      <c r="C280" s="21">
        <v>44967</v>
      </c>
      <c r="D280" s="126" t="s">
        <v>18</v>
      </c>
      <c r="E280" s="22" t="s">
        <v>19</v>
      </c>
      <c r="F280" s="23" t="s">
        <v>20</v>
      </c>
    </row>
    <row r="281" spans="1:6" ht="15.75" thickBot="1" x14ac:dyDescent="0.3">
      <c r="A281" s="127"/>
      <c r="B281" s="20" t="s">
        <v>21</v>
      </c>
      <c r="C281" s="20">
        <v>1</v>
      </c>
      <c r="D281" s="127"/>
      <c r="E281" s="22" t="s">
        <v>22</v>
      </c>
      <c r="F281" s="23" t="s">
        <v>23</v>
      </c>
    </row>
    <row r="282" spans="1:6" ht="15.75" thickBot="1" x14ac:dyDescent="0.3">
      <c r="A282" s="127"/>
      <c r="B282" s="20" t="s">
        <v>24</v>
      </c>
      <c r="C282" s="21">
        <v>44972</v>
      </c>
      <c r="D282" s="127"/>
      <c r="E282" s="22" t="s">
        <v>25</v>
      </c>
      <c r="F282" s="23"/>
    </row>
    <row r="283" spans="1:6" ht="15.75" thickBot="1" x14ac:dyDescent="0.3">
      <c r="A283" s="127"/>
      <c r="B283" s="20" t="s">
        <v>21</v>
      </c>
      <c r="C283" s="20">
        <v>1</v>
      </c>
      <c r="D283" s="127"/>
      <c r="E283" s="22" t="s">
        <v>26</v>
      </c>
      <c r="F283" s="23"/>
    </row>
    <row r="284" spans="1:6" ht="17.25" thickBot="1" x14ac:dyDescent="0.3">
      <c r="A284" s="1"/>
      <c r="B284" s="1"/>
      <c r="C284" s="1"/>
      <c r="D284" s="1"/>
      <c r="E284" s="1"/>
      <c r="F284" s="1"/>
    </row>
    <row r="285" spans="1:6" x14ac:dyDescent="0.25">
      <c r="A285" s="45" t="s">
        <v>27</v>
      </c>
      <c r="B285" s="45" t="s">
        <v>28</v>
      </c>
      <c r="C285" s="45" t="s">
        <v>29</v>
      </c>
      <c r="D285" s="45" t="s">
        <v>30</v>
      </c>
      <c r="E285" s="45" t="s">
        <v>31</v>
      </c>
      <c r="F285" s="45" t="s">
        <v>32</v>
      </c>
    </row>
    <row r="286" spans="1:6" x14ac:dyDescent="0.25">
      <c r="A286" s="46">
        <v>47131618</v>
      </c>
      <c r="B286" s="58" t="s">
        <v>111</v>
      </c>
      <c r="C286" s="26" t="s">
        <v>68</v>
      </c>
      <c r="D286" s="25">
        <v>2</v>
      </c>
      <c r="E286" s="27">
        <v>291</v>
      </c>
      <c r="F286" s="28">
        <f>E286*D286</f>
        <v>582</v>
      </c>
    </row>
    <row r="287" spans="1:6" x14ac:dyDescent="0.25">
      <c r="A287" s="46">
        <v>47131604</v>
      </c>
      <c r="B287" s="58" t="s">
        <v>112</v>
      </c>
      <c r="C287" s="26" t="s">
        <v>68</v>
      </c>
      <c r="D287" s="25">
        <v>2</v>
      </c>
      <c r="E287" s="27">
        <v>130</v>
      </c>
      <c r="F287" s="28">
        <f t="shared" ref="F287:F302" si="0">E287*D287</f>
        <v>260</v>
      </c>
    </row>
    <row r="288" spans="1:6" s="110" customFormat="1" x14ac:dyDescent="0.25">
      <c r="A288" s="103">
        <v>47121804</v>
      </c>
      <c r="B288" s="99" t="s">
        <v>113</v>
      </c>
      <c r="C288" s="104" t="s">
        <v>68</v>
      </c>
      <c r="D288" s="120">
        <v>1</v>
      </c>
      <c r="E288" s="105">
        <v>4800</v>
      </c>
      <c r="F288" s="57">
        <f t="shared" si="0"/>
        <v>4800</v>
      </c>
    </row>
    <row r="289" spans="1:6" x14ac:dyDescent="0.25">
      <c r="A289" s="46">
        <v>47121702</v>
      </c>
      <c r="B289" s="58" t="s">
        <v>114</v>
      </c>
      <c r="C289" s="52" t="s">
        <v>68</v>
      </c>
      <c r="D289" s="53">
        <v>2</v>
      </c>
      <c r="E289" s="54">
        <v>1052</v>
      </c>
      <c r="F289" s="28">
        <f t="shared" si="0"/>
        <v>2104</v>
      </c>
    </row>
    <row r="290" spans="1:6" x14ac:dyDescent="0.25">
      <c r="A290" s="46">
        <v>47121701</v>
      </c>
      <c r="B290" s="58" t="s">
        <v>115</v>
      </c>
      <c r="C290" s="52" t="s">
        <v>94</v>
      </c>
      <c r="D290" s="53">
        <v>2</v>
      </c>
      <c r="E290" s="54">
        <v>280</v>
      </c>
      <c r="F290" s="28">
        <f t="shared" si="0"/>
        <v>560</v>
      </c>
    </row>
    <row r="291" spans="1:6" x14ac:dyDescent="0.25">
      <c r="A291" s="46" t="s">
        <v>116</v>
      </c>
      <c r="B291" s="58" t="s">
        <v>117</v>
      </c>
      <c r="C291" s="52" t="s">
        <v>68</v>
      </c>
      <c r="D291" s="53">
        <v>4</v>
      </c>
      <c r="E291" s="54">
        <v>40</v>
      </c>
      <c r="F291" s="28">
        <f t="shared" si="0"/>
        <v>160</v>
      </c>
    </row>
    <row r="292" spans="1:6" x14ac:dyDescent="0.25">
      <c r="A292" s="46">
        <v>14111704</v>
      </c>
      <c r="B292" s="58" t="s">
        <v>118</v>
      </c>
      <c r="C292" s="52" t="s">
        <v>94</v>
      </c>
      <c r="D292" s="59">
        <v>15</v>
      </c>
      <c r="E292" s="54">
        <v>700</v>
      </c>
      <c r="F292" s="28">
        <f t="shared" si="0"/>
        <v>10500</v>
      </c>
    </row>
    <row r="293" spans="1:6" s="110" customFormat="1" x14ac:dyDescent="0.25">
      <c r="A293" s="103">
        <v>14111703</v>
      </c>
      <c r="B293" s="99" t="s">
        <v>119</v>
      </c>
      <c r="C293" s="104" t="s">
        <v>94</v>
      </c>
      <c r="D293" s="59">
        <v>0</v>
      </c>
      <c r="E293" s="121">
        <v>800</v>
      </c>
      <c r="F293" s="57">
        <f t="shared" si="0"/>
        <v>0</v>
      </c>
    </row>
    <row r="294" spans="1:6" x14ac:dyDescent="0.25">
      <c r="A294" s="46">
        <v>14111705</v>
      </c>
      <c r="B294" s="58" t="s">
        <v>120</v>
      </c>
      <c r="C294" s="52" t="s">
        <v>94</v>
      </c>
      <c r="D294" s="59">
        <v>5</v>
      </c>
      <c r="E294" s="54">
        <v>1200</v>
      </c>
      <c r="F294" s="28">
        <f t="shared" si="0"/>
        <v>6000</v>
      </c>
    </row>
    <row r="295" spans="1:6" x14ac:dyDescent="0.25">
      <c r="A295" s="46">
        <v>14111705</v>
      </c>
      <c r="B295" s="58" t="s">
        <v>121</v>
      </c>
      <c r="C295" s="52" t="s">
        <v>94</v>
      </c>
      <c r="D295" s="53">
        <v>10</v>
      </c>
      <c r="E295" s="54">
        <v>250</v>
      </c>
      <c r="F295" s="55">
        <f t="shared" si="0"/>
        <v>2500</v>
      </c>
    </row>
    <row r="296" spans="1:6" x14ac:dyDescent="0.25">
      <c r="A296" s="46">
        <v>42281704</v>
      </c>
      <c r="B296" s="58" t="s">
        <v>122</v>
      </c>
      <c r="C296" s="52" t="s">
        <v>68</v>
      </c>
      <c r="D296" s="59">
        <v>100</v>
      </c>
      <c r="E296" s="54">
        <v>85</v>
      </c>
      <c r="F296" s="28">
        <f t="shared" si="0"/>
        <v>8500</v>
      </c>
    </row>
    <row r="297" spans="1:6" x14ac:dyDescent="0.25">
      <c r="A297" s="46">
        <v>53131608</v>
      </c>
      <c r="B297" s="58" t="s">
        <v>123</v>
      </c>
      <c r="C297" s="52" t="s">
        <v>68</v>
      </c>
      <c r="D297" s="59">
        <v>10</v>
      </c>
      <c r="E297" s="54">
        <v>150</v>
      </c>
      <c r="F297" s="28">
        <f t="shared" si="0"/>
        <v>1500</v>
      </c>
    </row>
    <row r="298" spans="1:6" x14ac:dyDescent="0.25">
      <c r="A298" s="46">
        <v>47131821</v>
      </c>
      <c r="B298" s="58" t="s">
        <v>310</v>
      </c>
      <c r="C298" s="52" t="s">
        <v>68</v>
      </c>
      <c r="D298" s="59">
        <v>15</v>
      </c>
      <c r="E298" s="54">
        <v>250</v>
      </c>
      <c r="F298" s="28">
        <f t="shared" si="0"/>
        <v>3750</v>
      </c>
    </row>
    <row r="299" spans="1:6" x14ac:dyDescent="0.25">
      <c r="A299" s="46">
        <v>46181504</v>
      </c>
      <c r="B299" s="58" t="s">
        <v>124</v>
      </c>
      <c r="C299" s="52" t="s">
        <v>68</v>
      </c>
      <c r="D299" s="59">
        <v>3</v>
      </c>
      <c r="E299" s="54">
        <v>150</v>
      </c>
      <c r="F299" s="28">
        <f t="shared" si="0"/>
        <v>450</v>
      </c>
    </row>
    <row r="300" spans="1:6" ht="30" x14ac:dyDescent="0.25">
      <c r="A300" s="60" t="s">
        <v>125</v>
      </c>
      <c r="B300" s="58" t="s">
        <v>126</v>
      </c>
      <c r="C300" s="52" t="s">
        <v>127</v>
      </c>
      <c r="D300" s="59">
        <v>10</v>
      </c>
      <c r="E300" s="54">
        <v>250</v>
      </c>
      <c r="F300" s="28">
        <f t="shared" si="0"/>
        <v>2500</v>
      </c>
    </row>
    <row r="301" spans="1:6" x14ac:dyDescent="0.25">
      <c r="A301" s="46">
        <v>47131803</v>
      </c>
      <c r="B301" s="58" t="s">
        <v>128</v>
      </c>
      <c r="C301" s="52" t="s">
        <v>127</v>
      </c>
      <c r="D301" s="59">
        <v>8</v>
      </c>
      <c r="E301" s="54">
        <v>200</v>
      </c>
      <c r="F301" s="28">
        <f t="shared" si="0"/>
        <v>1600</v>
      </c>
    </row>
    <row r="302" spans="1:6" x14ac:dyDescent="0.25">
      <c r="A302" s="46"/>
      <c r="B302" s="61"/>
      <c r="C302" s="52"/>
      <c r="D302" s="62"/>
      <c r="E302" s="54"/>
      <c r="F302" s="28">
        <f t="shared" si="0"/>
        <v>0</v>
      </c>
    </row>
    <row r="303" spans="1:6" ht="16.5" x14ac:dyDescent="0.25">
      <c r="A303" s="1"/>
      <c r="B303" s="1"/>
      <c r="C303" s="1"/>
      <c r="D303" s="1"/>
      <c r="E303" s="49" t="s">
        <v>40</v>
      </c>
      <c r="F303" s="50">
        <f>SUM(F286:F301)</f>
        <v>45766</v>
      </c>
    </row>
    <row r="305" spans="1:6" ht="15.75" thickBot="1" x14ac:dyDescent="0.3"/>
    <row r="306" spans="1:6" ht="45.75" thickBot="1" x14ac:dyDescent="0.3">
      <c r="A306" s="37" t="s">
        <v>41</v>
      </c>
      <c r="B306" s="37" t="s">
        <v>42</v>
      </c>
      <c r="C306" s="37" t="s">
        <v>43</v>
      </c>
      <c r="D306" s="37" t="s">
        <v>44</v>
      </c>
      <c r="E306" s="37" t="s">
        <v>45</v>
      </c>
      <c r="F306" s="37" t="s">
        <v>46</v>
      </c>
    </row>
    <row r="307" spans="1:6" ht="58.5" thickBot="1" x14ac:dyDescent="0.3">
      <c r="A307" s="32" t="s">
        <v>129</v>
      </c>
      <c r="B307" s="43" t="s">
        <v>91</v>
      </c>
      <c r="C307" s="33" t="s">
        <v>92</v>
      </c>
      <c r="D307" s="32" t="s">
        <v>50</v>
      </c>
      <c r="E307" s="33" t="s">
        <v>51</v>
      </c>
      <c r="F307" s="33"/>
    </row>
    <row r="308" spans="1:6" ht="15.75" thickBot="1" x14ac:dyDescent="0.3">
      <c r="A308" s="126" t="s">
        <v>16</v>
      </c>
      <c r="B308" s="20" t="s">
        <v>17</v>
      </c>
      <c r="C308" s="21">
        <v>45026</v>
      </c>
      <c r="D308" s="126" t="s">
        <v>18</v>
      </c>
      <c r="E308" s="22" t="s">
        <v>19</v>
      </c>
      <c r="F308" s="23" t="s">
        <v>20</v>
      </c>
    </row>
    <row r="309" spans="1:6" ht="15.75" thickBot="1" x14ac:dyDescent="0.3">
      <c r="A309" s="127"/>
      <c r="B309" s="20" t="s">
        <v>21</v>
      </c>
      <c r="C309" s="20">
        <v>2</v>
      </c>
      <c r="D309" s="127"/>
      <c r="E309" s="22" t="s">
        <v>22</v>
      </c>
      <c r="F309" s="23" t="s">
        <v>23</v>
      </c>
    </row>
    <row r="310" spans="1:6" ht="15.75" thickBot="1" x14ac:dyDescent="0.3">
      <c r="A310" s="127"/>
      <c r="B310" s="20" t="s">
        <v>24</v>
      </c>
      <c r="C310" s="21">
        <v>45031</v>
      </c>
      <c r="D310" s="127"/>
      <c r="E310" s="22" t="s">
        <v>25</v>
      </c>
      <c r="F310" s="23"/>
    </row>
    <row r="311" spans="1:6" ht="15.75" thickBot="1" x14ac:dyDescent="0.3">
      <c r="A311" s="127"/>
      <c r="B311" s="20" t="s">
        <v>21</v>
      </c>
      <c r="C311" s="20">
        <v>2</v>
      </c>
      <c r="D311" s="127"/>
      <c r="E311" s="22" t="s">
        <v>26</v>
      </c>
      <c r="F311" s="23"/>
    </row>
    <row r="312" spans="1:6" ht="17.25" thickBot="1" x14ac:dyDescent="0.3">
      <c r="A312" s="1"/>
      <c r="B312" s="1"/>
      <c r="C312" s="1"/>
      <c r="D312" s="1"/>
      <c r="E312" s="1"/>
      <c r="F312" s="1"/>
    </row>
    <row r="313" spans="1:6" x14ac:dyDescent="0.25">
      <c r="A313" s="45" t="s">
        <v>27</v>
      </c>
      <c r="B313" s="45" t="s">
        <v>28</v>
      </c>
      <c r="C313" s="45" t="s">
        <v>29</v>
      </c>
      <c r="D313" s="45" t="s">
        <v>30</v>
      </c>
      <c r="E313" s="45" t="s">
        <v>31</v>
      </c>
      <c r="F313" s="45" t="s">
        <v>32</v>
      </c>
    </row>
    <row r="314" spans="1:6" x14ac:dyDescent="0.25">
      <c r="A314" s="46">
        <v>47131803</v>
      </c>
      <c r="B314" s="58" t="s">
        <v>111</v>
      </c>
      <c r="C314" s="26" t="s">
        <v>68</v>
      </c>
      <c r="D314" s="25">
        <v>2</v>
      </c>
      <c r="E314" s="27">
        <v>291</v>
      </c>
      <c r="F314" s="28">
        <f>Table4101418172682[[#This Row],[CANTIDAD TOTAL ESTIMADA]]*Table4101418172682[[#This Row],[PRECIO UNITARIO ESTIMADO]]</f>
        <v>582</v>
      </c>
    </row>
    <row r="315" spans="1:6" x14ac:dyDescent="0.25">
      <c r="A315" s="46">
        <v>47131604</v>
      </c>
      <c r="B315" s="58" t="s">
        <v>112</v>
      </c>
      <c r="C315" s="26" t="s">
        <v>68</v>
      </c>
      <c r="D315" s="25">
        <v>2</v>
      </c>
      <c r="E315" s="27">
        <v>130</v>
      </c>
      <c r="F315" s="28">
        <f>Table4101418172682[[#This Row],[CANTIDAD TOTAL ESTIMADA]]*Table4101418172682[[#This Row],[PRECIO UNITARIO ESTIMADO]]</f>
        <v>260</v>
      </c>
    </row>
    <row r="316" spans="1:6" s="110" customFormat="1" x14ac:dyDescent="0.25">
      <c r="A316" s="103">
        <v>47121804</v>
      </c>
      <c r="B316" s="99" t="s">
        <v>113</v>
      </c>
      <c r="C316" s="104" t="s">
        <v>68</v>
      </c>
      <c r="D316" s="120">
        <v>1</v>
      </c>
      <c r="E316" s="105">
        <v>4800</v>
      </c>
      <c r="F316" s="57">
        <f>Table4101418172682[[#This Row],[CANTIDAD TOTAL ESTIMADA]]*Table4101418172682[[#This Row],[PRECIO UNITARIO ESTIMADO]]</f>
        <v>4800</v>
      </c>
    </row>
    <row r="317" spans="1:6" x14ac:dyDescent="0.25">
      <c r="A317" s="46">
        <v>47121702</v>
      </c>
      <c r="B317" s="58" t="s">
        <v>114</v>
      </c>
      <c r="C317" s="52" t="s">
        <v>68</v>
      </c>
      <c r="D317" s="53">
        <v>2</v>
      </c>
      <c r="E317" s="54">
        <v>1052</v>
      </c>
      <c r="F317" s="55">
        <f>Table4101418172682[[#This Row],[CANTIDAD TOTAL ESTIMADA]]*Table4101418172682[[#This Row],[PRECIO UNITARIO ESTIMADO]]</f>
        <v>2104</v>
      </c>
    </row>
    <row r="318" spans="1:6" x14ac:dyDescent="0.25">
      <c r="A318" s="46">
        <v>47121701</v>
      </c>
      <c r="B318" s="58" t="s">
        <v>115</v>
      </c>
      <c r="C318" s="52" t="s">
        <v>94</v>
      </c>
      <c r="D318" s="53">
        <v>2</v>
      </c>
      <c r="E318" s="54">
        <v>280</v>
      </c>
      <c r="F318" s="55">
        <f>Table4101418172682[[#This Row],[CANTIDAD TOTAL ESTIMADA]]*Table4101418172682[[#This Row],[PRECIO UNITARIO ESTIMADO]]</f>
        <v>560</v>
      </c>
    </row>
    <row r="319" spans="1:6" x14ac:dyDescent="0.25">
      <c r="A319" s="46" t="s">
        <v>116</v>
      </c>
      <c r="B319" s="58" t="s">
        <v>117</v>
      </c>
      <c r="C319" s="52" t="s">
        <v>68</v>
      </c>
      <c r="D319" s="53">
        <v>4</v>
      </c>
      <c r="E319" s="54">
        <v>40</v>
      </c>
      <c r="F319" s="55">
        <f>Table4101418172682[[#This Row],[CANTIDAD TOTAL ESTIMADA]]*Table4101418172682[[#This Row],[PRECIO UNITARIO ESTIMADO]]</f>
        <v>160</v>
      </c>
    </row>
    <row r="320" spans="1:6" x14ac:dyDescent="0.25">
      <c r="A320" s="46">
        <v>14111704</v>
      </c>
      <c r="B320" s="58" t="s">
        <v>118</v>
      </c>
      <c r="C320" s="52" t="s">
        <v>94</v>
      </c>
      <c r="D320" s="59">
        <v>15</v>
      </c>
      <c r="E320" s="54">
        <v>700</v>
      </c>
      <c r="F320" s="55">
        <f>Table4101418172682[[#This Row],[CANTIDAD TOTAL ESTIMADA]]*Table4101418172682[[#This Row],[PRECIO UNITARIO ESTIMADO]]</f>
        <v>10500</v>
      </c>
    </row>
    <row r="321" spans="1:6" s="110" customFormat="1" x14ac:dyDescent="0.25">
      <c r="A321" s="103">
        <v>14111703</v>
      </c>
      <c r="B321" s="99" t="s">
        <v>119</v>
      </c>
      <c r="C321" s="104" t="s">
        <v>94</v>
      </c>
      <c r="D321" s="59">
        <v>0</v>
      </c>
      <c r="E321" s="121">
        <v>800</v>
      </c>
      <c r="F321" s="57">
        <f>Table4101418172682[[#This Row],[CANTIDAD TOTAL ESTIMADA]]*Table4101418172682[[#This Row],[PRECIO UNITARIO ESTIMADO]]</f>
        <v>0</v>
      </c>
    </row>
    <row r="322" spans="1:6" x14ac:dyDescent="0.25">
      <c r="A322" s="46">
        <v>14111705</v>
      </c>
      <c r="B322" s="58" t="s">
        <v>120</v>
      </c>
      <c r="C322" s="52" t="s">
        <v>94</v>
      </c>
      <c r="D322" s="59">
        <v>5</v>
      </c>
      <c r="E322" s="54">
        <v>1200</v>
      </c>
      <c r="F322" s="55">
        <f>Table4101418172682[[#This Row],[CANTIDAD TOTAL ESTIMADA]]*Table4101418172682[[#This Row],[PRECIO UNITARIO ESTIMADO]]</f>
        <v>6000</v>
      </c>
    </row>
    <row r="323" spans="1:6" x14ac:dyDescent="0.25">
      <c r="A323" s="46">
        <v>14111705</v>
      </c>
      <c r="B323" s="58" t="s">
        <v>121</v>
      </c>
      <c r="C323" s="52" t="s">
        <v>94</v>
      </c>
      <c r="D323" s="53">
        <v>10</v>
      </c>
      <c r="E323" s="54">
        <v>250</v>
      </c>
      <c r="F323" s="55">
        <f>Table4101418172682[[#This Row],[CANTIDAD TOTAL ESTIMADA]]*Table4101418172682[[#This Row],[PRECIO UNITARIO ESTIMADO]]</f>
        <v>2500</v>
      </c>
    </row>
    <row r="324" spans="1:6" x14ac:dyDescent="0.25">
      <c r="A324" s="46">
        <v>42281704</v>
      </c>
      <c r="B324" s="58" t="s">
        <v>122</v>
      </c>
      <c r="C324" s="52" t="s">
        <v>68</v>
      </c>
      <c r="D324" s="59">
        <v>100</v>
      </c>
      <c r="E324" s="54">
        <v>85</v>
      </c>
      <c r="F324" s="55">
        <f>Table4101418172682[[#This Row],[CANTIDAD TOTAL ESTIMADA]]*Table4101418172682[[#This Row],[PRECIO UNITARIO ESTIMADO]]</f>
        <v>8500</v>
      </c>
    </row>
    <row r="325" spans="1:6" x14ac:dyDescent="0.25">
      <c r="A325" s="46">
        <v>53131608</v>
      </c>
      <c r="B325" s="58" t="s">
        <v>123</v>
      </c>
      <c r="C325" s="52" t="s">
        <v>68</v>
      </c>
      <c r="D325" s="59">
        <v>10</v>
      </c>
      <c r="E325" s="54">
        <v>150</v>
      </c>
      <c r="F325" s="55">
        <f>Table4101418172682[[#This Row],[CANTIDAD TOTAL ESTIMADA]]*Table4101418172682[[#This Row],[PRECIO UNITARIO ESTIMADO]]</f>
        <v>1500</v>
      </c>
    </row>
    <row r="326" spans="1:6" x14ac:dyDescent="0.25">
      <c r="A326" s="46">
        <v>47131821</v>
      </c>
      <c r="B326" s="58" t="s">
        <v>310</v>
      </c>
      <c r="C326" s="52" t="s">
        <v>68</v>
      </c>
      <c r="D326" s="59">
        <v>15</v>
      </c>
      <c r="E326" s="54">
        <v>250</v>
      </c>
      <c r="F326" s="55">
        <f>Table4101418172682[[#This Row],[CANTIDAD TOTAL ESTIMADA]]*Table4101418172682[[#This Row],[PRECIO UNITARIO ESTIMADO]]</f>
        <v>3750</v>
      </c>
    </row>
    <row r="327" spans="1:6" x14ac:dyDescent="0.25">
      <c r="A327" s="46">
        <v>46181504</v>
      </c>
      <c r="B327" s="58" t="s">
        <v>124</v>
      </c>
      <c r="C327" s="52" t="s">
        <v>68</v>
      </c>
      <c r="D327" s="59">
        <v>3</v>
      </c>
      <c r="E327" s="54">
        <v>150</v>
      </c>
      <c r="F327" s="55">
        <f>Table4101418172682[[#This Row],[CANTIDAD TOTAL ESTIMADA]]*Table4101418172682[[#This Row],[PRECIO UNITARIO ESTIMADO]]</f>
        <v>450</v>
      </c>
    </row>
    <row r="328" spans="1:6" ht="30" x14ac:dyDescent="0.25">
      <c r="A328" s="60" t="s">
        <v>125</v>
      </c>
      <c r="B328" s="58" t="s">
        <v>126</v>
      </c>
      <c r="C328" s="52" t="s">
        <v>127</v>
      </c>
      <c r="D328" s="59">
        <v>10</v>
      </c>
      <c r="E328" s="54">
        <v>250</v>
      </c>
      <c r="F328" s="55">
        <f>Table4101418172682[[#This Row],[CANTIDAD TOTAL ESTIMADA]]*Table4101418172682[[#This Row],[PRECIO UNITARIO ESTIMADO]]</f>
        <v>2500</v>
      </c>
    </row>
    <row r="329" spans="1:6" x14ac:dyDescent="0.25">
      <c r="A329" s="46">
        <v>47131803</v>
      </c>
      <c r="B329" s="58" t="s">
        <v>128</v>
      </c>
      <c r="C329" s="52" t="s">
        <v>127</v>
      </c>
      <c r="D329" s="59">
        <v>8</v>
      </c>
      <c r="E329" s="54">
        <v>200</v>
      </c>
      <c r="F329" s="55">
        <f>Table4101418172682[[#This Row],[CANTIDAD TOTAL ESTIMADA]]*Table4101418172682[[#This Row],[PRECIO UNITARIO ESTIMADO]]</f>
        <v>1600</v>
      </c>
    </row>
    <row r="330" spans="1:6" x14ac:dyDescent="0.25">
      <c r="A330" s="46"/>
      <c r="B330" s="61"/>
      <c r="C330" s="52"/>
      <c r="D330" s="62"/>
      <c r="E330" s="54"/>
      <c r="F330" s="55">
        <f>Table4101418172682[[#This Row],[CANTIDAD TOTAL ESTIMADA]]*Table4101418172682[[#This Row],[PRECIO UNITARIO ESTIMADO]]</f>
        <v>0</v>
      </c>
    </row>
    <row r="331" spans="1:6" ht="16.5" x14ac:dyDescent="0.25">
      <c r="A331" s="1"/>
      <c r="B331" s="1"/>
      <c r="C331" s="1"/>
      <c r="D331" s="1"/>
      <c r="E331" s="49" t="s">
        <v>40</v>
      </c>
      <c r="F331" s="50">
        <f>SUBTOTAL(109,Table4101418172682[MONTO TOTAL ESTIMADO])</f>
        <v>45766</v>
      </c>
    </row>
    <row r="334" spans="1:6" ht="15.75" thickBot="1" x14ac:dyDescent="0.3"/>
    <row r="335" spans="1:6" ht="45.75" thickBot="1" x14ac:dyDescent="0.3">
      <c r="A335" s="37" t="s">
        <v>41</v>
      </c>
      <c r="B335" s="37" t="s">
        <v>42</v>
      </c>
      <c r="C335" s="37" t="s">
        <v>43</v>
      </c>
      <c r="D335" s="37" t="s">
        <v>44</v>
      </c>
      <c r="E335" s="37" t="s">
        <v>45</v>
      </c>
      <c r="F335" s="37" t="s">
        <v>46</v>
      </c>
    </row>
    <row r="336" spans="1:6" ht="58.5" thickBot="1" x14ac:dyDescent="0.3">
      <c r="A336" s="32" t="s">
        <v>130</v>
      </c>
      <c r="B336" s="43" t="s">
        <v>91</v>
      </c>
      <c r="C336" s="33" t="s">
        <v>92</v>
      </c>
      <c r="D336" s="32" t="s">
        <v>50</v>
      </c>
      <c r="E336" s="33" t="s">
        <v>51</v>
      </c>
      <c r="F336" s="33"/>
    </row>
    <row r="337" spans="1:6" ht="15.75" thickBot="1" x14ac:dyDescent="0.3">
      <c r="A337" s="126" t="s">
        <v>16</v>
      </c>
      <c r="B337" s="20" t="s">
        <v>17</v>
      </c>
      <c r="C337" s="21">
        <v>45148</v>
      </c>
      <c r="D337" s="126" t="s">
        <v>18</v>
      </c>
      <c r="E337" s="22" t="s">
        <v>19</v>
      </c>
      <c r="F337" s="23" t="s">
        <v>20</v>
      </c>
    </row>
    <row r="338" spans="1:6" ht="15.75" thickBot="1" x14ac:dyDescent="0.3">
      <c r="A338" s="127"/>
      <c r="B338" s="20" t="s">
        <v>21</v>
      </c>
      <c r="C338" s="20">
        <v>3</v>
      </c>
      <c r="D338" s="127"/>
      <c r="E338" s="22" t="s">
        <v>22</v>
      </c>
      <c r="F338" s="23" t="s">
        <v>23</v>
      </c>
    </row>
    <row r="339" spans="1:6" ht="15.75" thickBot="1" x14ac:dyDescent="0.3">
      <c r="A339" s="127"/>
      <c r="B339" s="20" t="s">
        <v>24</v>
      </c>
      <c r="C339" s="21">
        <v>45153</v>
      </c>
      <c r="D339" s="127"/>
      <c r="E339" s="22" t="s">
        <v>25</v>
      </c>
      <c r="F339" s="23"/>
    </row>
    <row r="340" spans="1:6" ht="15.75" thickBot="1" x14ac:dyDescent="0.3">
      <c r="A340" s="127"/>
      <c r="B340" s="20" t="s">
        <v>21</v>
      </c>
      <c r="C340" s="20">
        <v>3</v>
      </c>
      <c r="D340" s="127"/>
      <c r="E340" s="22" t="s">
        <v>26</v>
      </c>
      <c r="F340" s="23"/>
    </row>
    <row r="341" spans="1:6" ht="17.25" thickBot="1" x14ac:dyDescent="0.3">
      <c r="A341" s="1"/>
      <c r="B341" s="1"/>
      <c r="C341" s="1"/>
      <c r="D341" s="1"/>
      <c r="E341" s="1"/>
      <c r="F341" s="1"/>
    </row>
    <row r="342" spans="1:6" x14ac:dyDescent="0.25">
      <c r="A342" s="45" t="s">
        <v>27</v>
      </c>
      <c r="B342" s="45" t="s">
        <v>28</v>
      </c>
      <c r="C342" s="45" t="s">
        <v>29</v>
      </c>
      <c r="D342" s="45" t="s">
        <v>30</v>
      </c>
      <c r="E342" s="45" t="s">
        <v>31</v>
      </c>
      <c r="F342" s="45" t="s">
        <v>32</v>
      </c>
    </row>
    <row r="343" spans="1:6" x14ac:dyDescent="0.25">
      <c r="A343" s="46">
        <v>47131803</v>
      </c>
      <c r="B343" s="58" t="s">
        <v>111</v>
      </c>
      <c r="C343" s="26" t="s">
        <v>68</v>
      </c>
      <c r="D343" s="25">
        <v>2</v>
      </c>
      <c r="E343" s="27">
        <v>291</v>
      </c>
      <c r="F343" s="28">
        <f>+Table4101418172883[[#This Row],[PRECIO UNITARIO ESTIMADO]]*Table4101418172883[[#This Row],[CANTIDAD TOTAL ESTIMADA]]</f>
        <v>582</v>
      </c>
    </row>
    <row r="344" spans="1:6" x14ac:dyDescent="0.25">
      <c r="A344" s="46">
        <v>47131604</v>
      </c>
      <c r="B344" s="58" t="s">
        <v>112</v>
      </c>
      <c r="C344" s="26" t="s">
        <v>68</v>
      </c>
      <c r="D344" s="25">
        <v>2</v>
      </c>
      <c r="E344" s="27">
        <v>130</v>
      </c>
      <c r="F344" s="28">
        <f>+Table4101418172883[[#This Row],[PRECIO UNITARIO ESTIMADO]]*Table4101418172883[[#This Row],[CANTIDAD TOTAL ESTIMADA]]</f>
        <v>260</v>
      </c>
    </row>
    <row r="345" spans="1:6" s="110" customFormat="1" x14ac:dyDescent="0.25">
      <c r="A345" s="103">
        <v>47121804</v>
      </c>
      <c r="B345" s="99" t="s">
        <v>113</v>
      </c>
      <c r="C345" s="104" t="s">
        <v>68</v>
      </c>
      <c r="D345" s="120">
        <v>1</v>
      </c>
      <c r="E345" s="105">
        <v>4800</v>
      </c>
      <c r="F345" s="57">
        <f>+Table4101418172883[[#This Row],[PRECIO UNITARIO ESTIMADO]]*Table4101418172883[[#This Row],[CANTIDAD TOTAL ESTIMADA]]</f>
        <v>4800</v>
      </c>
    </row>
    <row r="346" spans="1:6" x14ac:dyDescent="0.25">
      <c r="A346" s="46">
        <v>47121702</v>
      </c>
      <c r="B346" s="58" t="s">
        <v>114</v>
      </c>
      <c r="C346" s="52" t="s">
        <v>68</v>
      </c>
      <c r="D346" s="53">
        <v>2</v>
      </c>
      <c r="E346" s="54">
        <v>1052</v>
      </c>
      <c r="F346" s="55">
        <f>+Table4101418172883[[#This Row],[PRECIO UNITARIO ESTIMADO]]*Table4101418172883[[#This Row],[CANTIDAD TOTAL ESTIMADA]]</f>
        <v>2104</v>
      </c>
    </row>
    <row r="347" spans="1:6" x14ac:dyDescent="0.25">
      <c r="A347" s="46">
        <v>47121701</v>
      </c>
      <c r="B347" s="58" t="s">
        <v>115</v>
      </c>
      <c r="C347" s="52" t="s">
        <v>94</v>
      </c>
      <c r="D347" s="53">
        <v>2</v>
      </c>
      <c r="E347" s="54">
        <v>280</v>
      </c>
      <c r="F347" s="55">
        <f>+Table4101418172883[[#This Row],[PRECIO UNITARIO ESTIMADO]]*Table4101418172883[[#This Row],[CANTIDAD TOTAL ESTIMADA]]</f>
        <v>560</v>
      </c>
    </row>
    <row r="348" spans="1:6" x14ac:dyDescent="0.25">
      <c r="A348" s="46" t="s">
        <v>116</v>
      </c>
      <c r="B348" s="58" t="s">
        <v>117</v>
      </c>
      <c r="C348" s="52" t="s">
        <v>68</v>
      </c>
      <c r="D348" s="53">
        <v>4</v>
      </c>
      <c r="E348" s="54">
        <v>40</v>
      </c>
      <c r="F348" s="55">
        <f>+Table4101418172883[[#This Row],[PRECIO UNITARIO ESTIMADO]]*Table4101418172883[[#This Row],[CANTIDAD TOTAL ESTIMADA]]</f>
        <v>160</v>
      </c>
    </row>
    <row r="349" spans="1:6" x14ac:dyDescent="0.25">
      <c r="A349" s="46">
        <v>14111704</v>
      </c>
      <c r="B349" s="58" t="s">
        <v>118</v>
      </c>
      <c r="C349" s="52" t="s">
        <v>94</v>
      </c>
      <c r="D349" s="59">
        <v>15</v>
      </c>
      <c r="E349" s="54">
        <v>700</v>
      </c>
      <c r="F349" s="55">
        <f>+Table4101418172883[[#This Row],[PRECIO UNITARIO ESTIMADO]]*Table4101418172883[[#This Row],[CANTIDAD TOTAL ESTIMADA]]</f>
        <v>10500</v>
      </c>
    </row>
    <row r="350" spans="1:6" s="110" customFormat="1" x14ac:dyDescent="0.25">
      <c r="A350" s="103">
        <v>14111703</v>
      </c>
      <c r="B350" s="99" t="s">
        <v>119</v>
      </c>
      <c r="C350" s="104" t="s">
        <v>94</v>
      </c>
      <c r="D350" s="59">
        <v>0</v>
      </c>
      <c r="E350" s="121">
        <v>800</v>
      </c>
      <c r="F350" s="57">
        <f>+Table4101418172883[[#This Row],[PRECIO UNITARIO ESTIMADO]]*Table4101418172883[[#This Row],[CANTIDAD TOTAL ESTIMADA]]</f>
        <v>0</v>
      </c>
    </row>
    <row r="351" spans="1:6" x14ac:dyDescent="0.25">
      <c r="A351" s="46">
        <v>14111705</v>
      </c>
      <c r="B351" s="58" t="s">
        <v>120</v>
      </c>
      <c r="C351" s="52" t="s">
        <v>94</v>
      </c>
      <c r="D351" s="59">
        <v>5</v>
      </c>
      <c r="E351" s="54">
        <v>1200</v>
      </c>
      <c r="F351" s="55">
        <f>+Table4101418172883[[#This Row],[PRECIO UNITARIO ESTIMADO]]*Table4101418172883[[#This Row],[CANTIDAD TOTAL ESTIMADA]]</f>
        <v>6000</v>
      </c>
    </row>
    <row r="352" spans="1:6" x14ac:dyDescent="0.25">
      <c r="A352" s="46">
        <v>14111705</v>
      </c>
      <c r="B352" s="58" t="s">
        <v>121</v>
      </c>
      <c r="C352" s="52" t="s">
        <v>94</v>
      </c>
      <c r="D352" s="53">
        <v>10</v>
      </c>
      <c r="E352" s="54">
        <v>250</v>
      </c>
      <c r="F352" s="55">
        <f>+Table4101418172883[[#This Row],[PRECIO UNITARIO ESTIMADO]]*Table4101418172883[[#This Row],[CANTIDAD TOTAL ESTIMADA]]</f>
        <v>2500</v>
      </c>
    </row>
    <row r="353" spans="1:6" x14ac:dyDescent="0.25">
      <c r="A353" s="46">
        <v>42281704</v>
      </c>
      <c r="B353" s="58" t="s">
        <v>122</v>
      </c>
      <c r="C353" s="52" t="s">
        <v>68</v>
      </c>
      <c r="D353" s="59">
        <v>100</v>
      </c>
      <c r="E353" s="54">
        <v>85</v>
      </c>
      <c r="F353" s="55">
        <f>+Table4101418172883[[#This Row],[PRECIO UNITARIO ESTIMADO]]*Table4101418172883[[#This Row],[CANTIDAD TOTAL ESTIMADA]]</f>
        <v>8500</v>
      </c>
    </row>
    <row r="354" spans="1:6" x14ac:dyDescent="0.25">
      <c r="A354" s="46">
        <v>53131608</v>
      </c>
      <c r="B354" s="58" t="s">
        <v>123</v>
      </c>
      <c r="C354" s="52" t="s">
        <v>68</v>
      </c>
      <c r="D354" s="59">
        <v>10</v>
      </c>
      <c r="E354" s="54">
        <v>150</v>
      </c>
      <c r="F354" s="55">
        <f>+Table4101418172883[[#This Row],[PRECIO UNITARIO ESTIMADO]]*Table4101418172883[[#This Row],[CANTIDAD TOTAL ESTIMADA]]</f>
        <v>1500</v>
      </c>
    </row>
    <row r="355" spans="1:6" x14ac:dyDescent="0.25">
      <c r="A355" s="46">
        <v>47131821</v>
      </c>
      <c r="B355" s="58" t="s">
        <v>310</v>
      </c>
      <c r="C355" s="52" t="s">
        <v>68</v>
      </c>
      <c r="D355" s="59">
        <v>15</v>
      </c>
      <c r="E355" s="54">
        <v>250</v>
      </c>
      <c r="F355" s="55">
        <f>+Table4101418172883[[#This Row],[PRECIO UNITARIO ESTIMADO]]*Table4101418172883[[#This Row],[CANTIDAD TOTAL ESTIMADA]]</f>
        <v>3750</v>
      </c>
    </row>
    <row r="356" spans="1:6" x14ac:dyDescent="0.25">
      <c r="A356" s="46">
        <v>46181504</v>
      </c>
      <c r="B356" s="58" t="s">
        <v>124</v>
      </c>
      <c r="C356" s="52" t="s">
        <v>68</v>
      </c>
      <c r="D356" s="59">
        <v>3</v>
      </c>
      <c r="E356" s="54">
        <v>150</v>
      </c>
      <c r="F356" s="55">
        <f>+Table4101418172883[[#This Row],[PRECIO UNITARIO ESTIMADO]]*Table4101418172883[[#This Row],[CANTIDAD TOTAL ESTIMADA]]</f>
        <v>450</v>
      </c>
    </row>
    <row r="357" spans="1:6" ht="30" x14ac:dyDescent="0.25">
      <c r="A357" s="60" t="s">
        <v>125</v>
      </c>
      <c r="B357" s="58" t="s">
        <v>126</v>
      </c>
      <c r="C357" s="52" t="s">
        <v>127</v>
      </c>
      <c r="D357" s="59">
        <v>10</v>
      </c>
      <c r="E357" s="54">
        <v>250</v>
      </c>
      <c r="F357" s="55">
        <f>+Table4101418172883[[#This Row],[PRECIO UNITARIO ESTIMADO]]*Table4101418172883[[#This Row],[CANTIDAD TOTAL ESTIMADA]]</f>
        <v>2500</v>
      </c>
    </row>
    <row r="358" spans="1:6" x14ac:dyDescent="0.25">
      <c r="A358" s="46">
        <v>47131803</v>
      </c>
      <c r="B358" s="58" t="s">
        <v>128</v>
      </c>
      <c r="C358" s="52" t="s">
        <v>127</v>
      </c>
      <c r="D358" s="59">
        <v>8</v>
      </c>
      <c r="E358" s="54">
        <v>200</v>
      </c>
      <c r="F358" s="55">
        <f>+Table4101418172883[[#This Row],[PRECIO UNITARIO ESTIMADO]]*Table4101418172883[[#This Row],[CANTIDAD TOTAL ESTIMADA]]</f>
        <v>1600</v>
      </c>
    </row>
    <row r="359" spans="1:6" x14ac:dyDescent="0.25">
      <c r="A359" s="46"/>
      <c r="B359" s="61"/>
      <c r="C359" s="52"/>
      <c r="D359" s="62"/>
      <c r="E359" s="54"/>
      <c r="F359" s="55">
        <f>+Table4101418172883[[#This Row],[PRECIO UNITARIO ESTIMADO]]*Table4101418172883[[#This Row],[CANTIDAD TOTAL ESTIMADA]]</f>
        <v>0</v>
      </c>
    </row>
    <row r="360" spans="1:6" ht="16.5" x14ac:dyDescent="0.25">
      <c r="A360" s="1"/>
      <c r="B360" s="1"/>
      <c r="C360" s="1"/>
      <c r="D360" s="1"/>
      <c r="E360" s="49" t="s">
        <v>40</v>
      </c>
      <c r="F360" s="50">
        <f>SUBTOTAL(109,Table4101418172883[MONTO TOTAL ESTIMADO])</f>
        <v>45766</v>
      </c>
    </row>
    <row r="364" spans="1:6" ht="15.75" thickBot="1" x14ac:dyDescent="0.3"/>
    <row r="365" spans="1:6" ht="45.75" thickBot="1" x14ac:dyDescent="0.3">
      <c r="A365" s="37" t="s">
        <v>41</v>
      </c>
      <c r="B365" s="37" t="s">
        <v>42</v>
      </c>
      <c r="C365" s="37" t="s">
        <v>43</v>
      </c>
      <c r="D365" s="37" t="s">
        <v>44</v>
      </c>
      <c r="E365" s="37" t="s">
        <v>45</v>
      </c>
      <c r="F365" s="37" t="s">
        <v>46</v>
      </c>
    </row>
    <row r="366" spans="1:6" ht="58.5" thickBot="1" x14ac:dyDescent="0.3">
      <c r="A366" s="32" t="s">
        <v>131</v>
      </c>
      <c r="B366" s="43" t="s">
        <v>91</v>
      </c>
      <c r="C366" s="33" t="s">
        <v>92</v>
      </c>
      <c r="D366" s="32" t="s">
        <v>50</v>
      </c>
      <c r="E366" s="33" t="s">
        <v>51</v>
      </c>
      <c r="F366" s="33"/>
    </row>
    <row r="367" spans="1:6" ht="15.75" thickBot="1" x14ac:dyDescent="0.3">
      <c r="A367" s="126" t="s">
        <v>16</v>
      </c>
      <c r="B367" s="20" t="s">
        <v>17</v>
      </c>
      <c r="C367" s="21">
        <v>45240</v>
      </c>
      <c r="D367" s="126" t="s">
        <v>18</v>
      </c>
      <c r="E367" s="22" t="s">
        <v>19</v>
      </c>
      <c r="F367" s="23" t="s">
        <v>20</v>
      </c>
    </row>
    <row r="368" spans="1:6" ht="15.75" thickBot="1" x14ac:dyDescent="0.3">
      <c r="A368" s="127"/>
      <c r="B368" s="20" t="s">
        <v>21</v>
      </c>
      <c r="C368" s="20">
        <v>4</v>
      </c>
      <c r="D368" s="127"/>
      <c r="E368" s="22" t="s">
        <v>22</v>
      </c>
      <c r="F368" s="23" t="s">
        <v>23</v>
      </c>
    </row>
    <row r="369" spans="1:6" ht="15.75" thickBot="1" x14ac:dyDescent="0.3">
      <c r="A369" s="127"/>
      <c r="B369" s="20" t="s">
        <v>24</v>
      </c>
      <c r="C369" s="21">
        <v>45245</v>
      </c>
      <c r="D369" s="127"/>
      <c r="E369" s="22" t="s">
        <v>25</v>
      </c>
      <c r="F369" s="23"/>
    </row>
    <row r="370" spans="1:6" ht="15.75" thickBot="1" x14ac:dyDescent="0.3">
      <c r="A370" s="127"/>
      <c r="B370" s="20" t="s">
        <v>21</v>
      </c>
      <c r="C370" s="20">
        <v>4</v>
      </c>
      <c r="D370" s="127"/>
      <c r="E370" s="22" t="s">
        <v>26</v>
      </c>
      <c r="F370" s="23"/>
    </row>
    <row r="371" spans="1:6" ht="17.25" thickBot="1" x14ac:dyDescent="0.3">
      <c r="A371" s="1"/>
      <c r="B371" s="1"/>
      <c r="C371" s="1"/>
      <c r="D371" s="1"/>
      <c r="E371" s="1"/>
      <c r="F371" s="1"/>
    </row>
    <row r="372" spans="1:6" x14ac:dyDescent="0.25">
      <c r="A372" s="45" t="s">
        <v>27</v>
      </c>
      <c r="B372" s="45" t="s">
        <v>28</v>
      </c>
      <c r="C372" s="45" t="s">
        <v>29</v>
      </c>
      <c r="D372" s="45" t="s">
        <v>30</v>
      </c>
      <c r="E372" s="45" t="s">
        <v>31</v>
      </c>
      <c r="F372" s="45" t="s">
        <v>32</v>
      </c>
    </row>
    <row r="373" spans="1:6" x14ac:dyDescent="0.25">
      <c r="A373" s="46">
        <v>47131803</v>
      </c>
      <c r="B373" s="58" t="s">
        <v>111</v>
      </c>
      <c r="C373" s="26" t="s">
        <v>68</v>
      </c>
      <c r="D373" s="25">
        <v>2</v>
      </c>
      <c r="E373" s="27">
        <v>291</v>
      </c>
      <c r="F373" s="28">
        <f>+Table410141817283084[[#This Row],[PRECIO UNITARIO ESTIMADO]]*Table410141817283084[[#This Row],[CANTIDAD TOTAL ESTIMADA]]</f>
        <v>582</v>
      </c>
    </row>
    <row r="374" spans="1:6" x14ac:dyDescent="0.25">
      <c r="A374" s="46">
        <v>47131604</v>
      </c>
      <c r="B374" s="58" t="s">
        <v>112</v>
      </c>
      <c r="C374" s="26" t="s">
        <v>68</v>
      </c>
      <c r="D374" s="25">
        <v>2</v>
      </c>
      <c r="E374" s="27">
        <v>130</v>
      </c>
      <c r="F374" s="28">
        <f>+Table410141817283084[[#This Row],[PRECIO UNITARIO ESTIMADO]]*Table410141817283084[[#This Row],[CANTIDAD TOTAL ESTIMADA]]</f>
        <v>260</v>
      </c>
    </row>
    <row r="375" spans="1:6" s="110" customFormat="1" x14ac:dyDescent="0.25">
      <c r="A375" s="103">
        <v>47121804</v>
      </c>
      <c r="B375" s="99" t="s">
        <v>113</v>
      </c>
      <c r="C375" s="104" t="s">
        <v>68</v>
      </c>
      <c r="D375" s="120">
        <v>1</v>
      </c>
      <c r="E375" s="105">
        <v>4800</v>
      </c>
      <c r="F375" s="57">
        <f>+Table410141817283084[[#This Row],[PRECIO UNITARIO ESTIMADO]]*Table410141817283084[[#This Row],[CANTIDAD TOTAL ESTIMADA]]</f>
        <v>4800</v>
      </c>
    </row>
    <row r="376" spans="1:6" x14ac:dyDescent="0.25">
      <c r="A376" s="46">
        <v>47121702</v>
      </c>
      <c r="B376" s="58" t="s">
        <v>114</v>
      </c>
      <c r="C376" s="52" t="s">
        <v>68</v>
      </c>
      <c r="D376" s="53">
        <v>2</v>
      </c>
      <c r="E376" s="54">
        <v>1052</v>
      </c>
      <c r="F376" s="55">
        <f>+Table410141817283084[[#This Row],[PRECIO UNITARIO ESTIMADO]]*Table410141817283084[[#This Row],[CANTIDAD TOTAL ESTIMADA]]</f>
        <v>2104</v>
      </c>
    </row>
    <row r="377" spans="1:6" x14ac:dyDescent="0.25">
      <c r="A377" s="46">
        <v>47121701</v>
      </c>
      <c r="B377" s="58" t="s">
        <v>115</v>
      </c>
      <c r="C377" s="52" t="s">
        <v>94</v>
      </c>
      <c r="D377" s="53">
        <v>2</v>
      </c>
      <c r="E377" s="54">
        <v>280</v>
      </c>
      <c r="F377" s="55">
        <f>+Table410141817283084[[#This Row],[PRECIO UNITARIO ESTIMADO]]*Table410141817283084[[#This Row],[CANTIDAD TOTAL ESTIMADA]]</f>
        <v>560</v>
      </c>
    </row>
    <row r="378" spans="1:6" x14ac:dyDescent="0.25">
      <c r="A378" s="46" t="s">
        <v>116</v>
      </c>
      <c r="B378" s="58" t="s">
        <v>117</v>
      </c>
      <c r="C378" s="52" t="s">
        <v>68</v>
      </c>
      <c r="D378" s="53">
        <v>4</v>
      </c>
      <c r="E378" s="54">
        <v>40</v>
      </c>
      <c r="F378" s="55">
        <f>+Table410141817283084[[#This Row],[PRECIO UNITARIO ESTIMADO]]*Table410141817283084[[#This Row],[CANTIDAD TOTAL ESTIMADA]]</f>
        <v>160</v>
      </c>
    </row>
    <row r="379" spans="1:6" x14ac:dyDescent="0.25">
      <c r="A379" s="46">
        <v>14111704</v>
      </c>
      <c r="B379" s="58" t="s">
        <v>118</v>
      </c>
      <c r="C379" s="52" t="s">
        <v>94</v>
      </c>
      <c r="D379" s="59">
        <v>15</v>
      </c>
      <c r="E379" s="54">
        <v>700</v>
      </c>
      <c r="F379" s="55">
        <f>+Table410141817283084[[#This Row],[PRECIO UNITARIO ESTIMADO]]*Table410141817283084[[#This Row],[CANTIDAD TOTAL ESTIMADA]]</f>
        <v>10500</v>
      </c>
    </row>
    <row r="380" spans="1:6" s="110" customFormat="1" x14ac:dyDescent="0.25">
      <c r="A380" s="103">
        <v>14111703</v>
      </c>
      <c r="B380" s="99" t="s">
        <v>119</v>
      </c>
      <c r="C380" s="104" t="s">
        <v>94</v>
      </c>
      <c r="D380" s="59">
        <v>0</v>
      </c>
      <c r="E380" s="121">
        <v>800</v>
      </c>
      <c r="F380" s="57">
        <f>+Table410141817283084[[#This Row],[PRECIO UNITARIO ESTIMADO]]*Table410141817283084[[#This Row],[CANTIDAD TOTAL ESTIMADA]]</f>
        <v>0</v>
      </c>
    </row>
    <row r="381" spans="1:6" x14ac:dyDescent="0.25">
      <c r="A381" s="46">
        <v>14111705</v>
      </c>
      <c r="B381" s="58" t="s">
        <v>120</v>
      </c>
      <c r="C381" s="52" t="s">
        <v>94</v>
      </c>
      <c r="D381" s="59">
        <v>5</v>
      </c>
      <c r="E381" s="54">
        <v>1200</v>
      </c>
      <c r="F381" s="55">
        <f>+Table410141817283084[[#This Row],[PRECIO UNITARIO ESTIMADO]]*Table410141817283084[[#This Row],[CANTIDAD TOTAL ESTIMADA]]</f>
        <v>6000</v>
      </c>
    </row>
    <row r="382" spans="1:6" x14ac:dyDescent="0.25">
      <c r="A382" s="46">
        <v>14111705</v>
      </c>
      <c r="B382" s="58" t="s">
        <v>121</v>
      </c>
      <c r="C382" s="52" t="s">
        <v>94</v>
      </c>
      <c r="D382" s="59">
        <v>10</v>
      </c>
      <c r="E382" s="54">
        <v>250</v>
      </c>
      <c r="F382" s="55">
        <f>+Table410141817283084[[#This Row],[PRECIO UNITARIO ESTIMADO]]*Table410141817283084[[#This Row],[CANTIDAD TOTAL ESTIMADA]]</f>
        <v>2500</v>
      </c>
    </row>
    <row r="383" spans="1:6" x14ac:dyDescent="0.25">
      <c r="A383" s="46">
        <v>42281704</v>
      </c>
      <c r="B383" s="58" t="s">
        <v>319</v>
      </c>
      <c r="C383" s="52" t="s">
        <v>320</v>
      </c>
      <c r="D383" s="59">
        <v>100</v>
      </c>
      <c r="E383" s="54">
        <v>85</v>
      </c>
      <c r="F383" s="55">
        <f>+Table410141817283084[[#This Row],[PRECIO UNITARIO ESTIMADO]]*Table410141817283084[[#This Row],[CANTIDAD TOTAL ESTIMADA]]</f>
        <v>8500</v>
      </c>
    </row>
    <row r="384" spans="1:6" x14ac:dyDescent="0.25">
      <c r="A384" s="46">
        <v>53131608</v>
      </c>
      <c r="B384" s="58" t="s">
        <v>123</v>
      </c>
      <c r="C384" s="52" t="s">
        <v>68</v>
      </c>
      <c r="D384" s="59">
        <v>10</v>
      </c>
      <c r="E384" s="54">
        <v>150</v>
      </c>
      <c r="F384" s="55">
        <f>+Table410141817283084[[#This Row],[PRECIO UNITARIO ESTIMADO]]*Table410141817283084[[#This Row],[CANTIDAD TOTAL ESTIMADA]]</f>
        <v>1500</v>
      </c>
    </row>
    <row r="385" spans="1:6" x14ac:dyDescent="0.25">
      <c r="A385" s="46">
        <v>47131821</v>
      </c>
      <c r="B385" s="58" t="s">
        <v>310</v>
      </c>
      <c r="C385" s="52" t="s">
        <v>68</v>
      </c>
      <c r="D385" s="59">
        <v>15</v>
      </c>
      <c r="E385" s="54">
        <v>250</v>
      </c>
      <c r="F385" s="55">
        <f>+Table410141817283084[[#This Row],[PRECIO UNITARIO ESTIMADO]]*Table410141817283084[[#This Row],[CANTIDAD TOTAL ESTIMADA]]</f>
        <v>3750</v>
      </c>
    </row>
    <row r="386" spans="1:6" x14ac:dyDescent="0.25">
      <c r="A386" s="46">
        <v>46181504</v>
      </c>
      <c r="B386" s="58" t="s">
        <v>124</v>
      </c>
      <c r="C386" s="52" t="s">
        <v>68</v>
      </c>
      <c r="D386" s="59">
        <v>3</v>
      </c>
      <c r="E386" s="54">
        <v>150</v>
      </c>
      <c r="F386" s="55">
        <f>+Table410141817283084[[#This Row],[PRECIO UNITARIO ESTIMADO]]*Table410141817283084[[#This Row],[CANTIDAD TOTAL ESTIMADA]]</f>
        <v>450</v>
      </c>
    </row>
    <row r="387" spans="1:6" ht="30" x14ac:dyDescent="0.25">
      <c r="A387" s="60" t="s">
        <v>125</v>
      </c>
      <c r="B387" s="58" t="s">
        <v>126</v>
      </c>
      <c r="C387" s="52" t="s">
        <v>127</v>
      </c>
      <c r="D387" s="59">
        <v>10</v>
      </c>
      <c r="E387" s="54">
        <v>250</v>
      </c>
      <c r="F387" s="55">
        <f>+Table410141817283084[[#This Row],[PRECIO UNITARIO ESTIMADO]]*Table410141817283084[[#This Row],[CANTIDAD TOTAL ESTIMADA]]</f>
        <v>2500</v>
      </c>
    </row>
    <row r="388" spans="1:6" x14ac:dyDescent="0.25">
      <c r="A388" s="46">
        <v>47131803</v>
      </c>
      <c r="B388" s="58" t="s">
        <v>128</v>
      </c>
      <c r="C388" s="52" t="s">
        <v>127</v>
      </c>
      <c r="D388" s="59">
        <v>8</v>
      </c>
      <c r="E388" s="54">
        <v>200</v>
      </c>
      <c r="F388" s="55">
        <f>+Table410141817283084[[#This Row],[PRECIO UNITARIO ESTIMADO]]*Table410141817283084[[#This Row],[CANTIDAD TOTAL ESTIMADA]]</f>
        <v>1600</v>
      </c>
    </row>
    <row r="389" spans="1:6" x14ac:dyDescent="0.25">
      <c r="A389" s="46"/>
      <c r="B389" s="61"/>
      <c r="C389" s="52"/>
      <c r="D389" s="62"/>
      <c r="E389" s="54"/>
      <c r="F389" s="55">
        <f>+Table410141817283084[[#This Row],[PRECIO UNITARIO ESTIMADO]]*Table410141817283084[[#This Row],[CANTIDAD TOTAL ESTIMADA]]</f>
        <v>0</v>
      </c>
    </row>
    <row r="390" spans="1:6" ht="16.5" x14ac:dyDescent="0.25">
      <c r="A390" s="1"/>
      <c r="B390" s="1"/>
      <c r="C390" s="1"/>
      <c r="D390" s="1"/>
      <c r="E390" s="49" t="s">
        <v>40</v>
      </c>
      <c r="F390" s="50">
        <f>SUBTOTAL(109,Table410141817283084[MONTO TOTAL ESTIMADO])</f>
        <v>45766</v>
      </c>
    </row>
    <row r="392" spans="1:6" ht="15.75" thickBot="1" x14ac:dyDescent="0.3"/>
    <row r="393" spans="1:6" ht="45.75" thickBot="1" x14ac:dyDescent="0.3">
      <c r="A393" s="37" t="s">
        <v>41</v>
      </c>
      <c r="B393" s="37" t="s">
        <v>42</v>
      </c>
      <c r="C393" s="37" t="s">
        <v>43</v>
      </c>
      <c r="D393" s="37" t="s">
        <v>44</v>
      </c>
      <c r="E393" s="37" t="s">
        <v>45</v>
      </c>
      <c r="F393" s="37" t="s">
        <v>46</v>
      </c>
    </row>
    <row r="394" spans="1:6" ht="58.5" thickBot="1" x14ac:dyDescent="0.3">
      <c r="A394" s="32" t="s">
        <v>132</v>
      </c>
      <c r="B394" s="43" t="s">
        <v>91</v>
      </c>
      <c r="C394" s="33" t="s">
        <v>92</v>
      </c>
      <c r="D394" s="32" t="s">
        <v>50</v>
      </c>
      <c r="E394" s="33" t="s">
        <v>51</v>
      </c>
      <c r="F394" s="33"/>
    </row>
    <row r="395" spans="1:6" ht="15.75" thickBot="1" x14ac:dyDescent="0.3">
      <c r="A395" s="126" t="s">
        <v>16</v>
      </c>
      <c r="B395" s="20" t="s">
        <v>17</v>
      </c>
      <c r="C395" s="21">
        <v>44967</v>
      </c>
      <c r="D395" s="126" t="s">
        <v>18</v>
      </c>
      <c r="E395" s="22" t="s">
        <v>19</v>
      </c>
      <c r="F395" s="23" t="s">
        <v>20</v>
      </c>
    </row>
    <row r="396" spans="1:6" ht="15.75" thickBot="1" x14ac:dyDescent="0.3">
      <c r="A396" s="127"/>
      <c r="B396" s="20" t="s">
        <v>21</v>
      </c>
      <c r="C396" s="20">
        <v>1</v>
      </c>
      <c r="D396" s="127"/>
      <c r="E396" s="22" t="s">
        <v>22</v>
      </c>
      <c r="F396" s="23" t="s">
        <v>23</v>
      </c>
    </row>
    <row r="397" spans="1:6" ht="15.75" thickBot="1" x14ac:dyDescent="0.3">
      <c r="A397" s="127"/>
      <c r="B397" s="20" t="s">
        <v>24</v>
      </c>
      <c r="C397" s="21">
        <v>44972</v>
      </c>
      <c r="D397" s="127"/>
      <c r="E397" s="22" t="s">
        <v>25</v>
      </c>
      <c r="F397" s="23"/>
    </row>
    <row r="398" spans="1:6" ht="15.75" thickBot="1" x14ac:dyDescent="0.3">
      <c r="A398" s="127"/>
      <c r="B398" s="20" t="s">
        <v>21</v>
      </c>
      <c r="C398" s="20">
        <v>1</v>
      </c>
      <c r="D398" s="127"/>
      <c r="E398" s="22" t="s">
        <v>26</v>
      </c>
      <c r="F398" s="23"/>
    </row>
    <row r="399" spans="1:6" ht="17.25" thickBot="1" x14ac:dyDescent="0.3">
      <c r="A399" s="1"/>
      <c r="B399" s="1"/>
      <c r="C399" s="1"/>
      <c r="D399" s="1"/>
      <c r="E399" s="1"/>
      <c r="F399" s="1"/>
    </row>
    <row r="400" spans="1:6" x14ac:dyDescent="0.25">
      <c r="A400" s="45" t="s">
        <v>27</v>
      </c>
      <c r="B400" s="45" t="s">
        <v>28</v>
      </c>
      <c r="C400" s="45" t="s">
        <v>29</v>
      </c>
      <c r="D400" s="45" t="s">
        <v>30</v>
      </c>
      <c r="E400" s="45" t="s">
        <v>31</v>
      </c>
      <c r="F400" s="45" t="s">
        <v>32</v>
      </c>
    </row>
    <row r="401" spans="1:6" x14ac:dyDescent="0.25">
      <c r="A401" s="46">
        <v>14111507</v>
      </c>
      <c r="B401" s="58" t="s">
        <v>133</v>
      </c>
      <c r="C401" s="26" t="s">
        <v>134</v>
      </c>
      <c r="D401" s="25">
        <v>50</v>
      </c>
      <c r="E401" s="27">
        <v>400</v>
      </c>
      <c r="F401" s="28">
        <f>E401*D401</f>
        <v>20000</v>
      </c>
    </row>
    <row r="402" spans="1:6" x14ac:dyDescent="0.25">
      <c r="A402" s="46">
        <v>14111507</v>
      </c>
      <c r="B402" s="58" t="s">
        <v>135</v>
      </c>
      <c r="C402" s="26" t="s">
        <v>134</v>
      </c>
      <c r="D402" s="2">
        <v>10</v>
      </c>
      <c r="E402" s="27">
        <v>600</v>
      </c>
      <c r="F402" s="28">
        <f t="shared" ref="F402:F424" si="1">E402*D402</f>
        <v>6000</v>
      </c>
    </row>
    <row r="403" spans="1:6" x14ac:dyDescent="0.25">
      <c r="A403" s="46">
        <v>14111530</v>
      </c>
      <c r="B403" s="58" t="s">
        <v>136</v>
      </c>
      <c r="C403" s="26" t="s">
        <v>68</v>
      </c>
      <c r="D403" s="25">
        <v>10</v>
      </c>
      <c r="E403" s="27">
        <v>125</v>
      </c>
      <c r="F403" s="28">
        <f t="shared" si="1"/>
        <v>1250</v>
      </c>
    </row>
    <row r="404" spans="1:6" x14ac:dyDescent="0.25">
      <c r="A404" s="46">
        <v>44121716</v>
      </c>
      <c r="B404" s="58" t="s">
        <v>137</v>
      </c>
      <c r="C404" s="26" t="s">
        <v>68</v>
      </c>
      <c r="D404" s="25">
        <v>20</v>
      </c>
      <c r="E404" s="27">
        <v>25</v>
      </c>
      <c r="F404" s="28">
        <f t="shared" si="1"/>
        <v>500</v>
      </c>
    </row>
    <row r="405" spans="1:6" x14ac:dyDescent="0.25">
      <c r="A405" s="46">
        <v>44122010</v>
      </c>
      <c r="B405" s="58" t="s">
        <v>138</v>
      </c>
      <c r="C405" s="52" t="s">
        <v>94</v>
      </c>
      <c r="D405" s="53">
        <v>20</v>
      </c>
      <c r="E405" s="54">
        <v>120</v>
      </c>
      <c r="F405" s="28">
        <f t="shared" si="1"/>
        <v>2400</v>
      </c>
    </row>
    <row r="406" spans="1:6" x14ac:dyDescent="0.25">
      <c r="A406" s="46">
        <v>43211708</v>
      </c>
      <c r="B406" s="58" t="s">
        <v>139</v>
      </c>
      <c r="C406" s="52" t="s">
        <v>94</v>
      </c>
      <c r="D406" s="53">
        <v>10</v>
      </c>
      <c r="E406" s="54">
        <v>300</v>
      </c>
      <c r="F406" s="28">
        <f t="shared" si="1"/>
        <v>3000</v>
      </c>
    </row>
    <row r="407" spans="1:6" x14ac:dyDescent="0.25">
      <c r="A407" s="46">
        <v>44122018</v>
      </c>
      <c r="B407" s="58" t="s">
        <v>140</v>
      </c>
      <c r="C407" s="52" t="s">
        <v>94</v>
      </c>
      <c r="D407" s="53">
        <v>10</v>
      </c>
      <c r="E407" s="54">
        <v>875</v>
      </c>
      <c r="F407" s="28">
        <f t="shared" si="1"/>
        <v>8750</v>
      </c>
    </row>
    <row r="408" spans="1:6" x14ac:dyDescent="0.25">
      <c r="A408" s="46">
        <v>31201512</v>
      </c>
      <c r="B408" s="58" t="s">
        <v>141</v>
      </c>
      <c r="C408" s="52" t="s">
        <v>68</v>
      </c>
      <c r="D408" s="59">
        <v>10</v>
      </c>
      <c r="E408" s="54">
        <v>160</v>
      </c>
      <c r="F408" s="28">
        <f t="shared" si="1"/>
        <v>1600</v>
      </c>
    </row>
    <row r="409" spans="1:6" x14ac:dyDescent="0.25">
      <c r="A409" s="46">
        <v>44111503</v>
      </c>
      <c r="B409" s="58" t="s">
        <v>142</v>
      </c>
      <c r="C409" s="52" t="s">
        <v>68</v>
      </c>
      <c r="D409" s="59">
        <v>10</v>
      </c>
      <c r="E409" s="54">
        <v>350</v>
      </c>
      <c r="F409" s="28">
        <f t="shared" si="1"/>
        <v>3500</v>
      </c>
    </row>
    <row r="410" spans="1:6" x14ac:dyDescent="0.25">
      <c r="A410" s="46">
        <v>44122002</v>
      </c>
      <c r="B410" s="58" t="s">
        <v>143</v>
      </c>
      <c r="C410" s="52" t="s">
        <v>94</v>
      </c>
      <c r="D410" s="59">
        <v>10</v>
      </c>
      <c r="E410" s="54">
        <v>300</v>
      </c>
      <c r="F410" s="28">
        <f t="shared" si="1"/>
        <v>3000</v>
      </c>
    </row>
    <row r="411" spans="1:6" x14ac:dyDescent="0.25">
      <c r="A411" s="46">
        <v>44122104</v>
      </c>
      <c r="B411" s="58" t="s">
        <v>144</v>
      </c>
      <c r="C411" s="52" t="s">
        <v>99</v>
      </c>
      <c r="D411" s="59">
        <v>10</v>
      </c>
      <c r="E411" s="54">
        <v>70</v>
      </c>
      <c r="F411" s="28">
        <f t="shared" si="1"/>
        <v>700</v>
      </c>
    </row>
    <row r="412" spans="1:6" x14ac:dyDescent="0.25">
      <c r="A412" s="46">
        <v>14111515</v>
      </c>
      <c r="B412" s="58" t="s">
        <v>145</v>
      </c>
      <c r="C412" s="52" t="s">
        <v>68</v>
      </c>
      <c r="D412" s="59">
        <v>10</v>
      </c>
      <c r="E412" s="54">
        <v>130</v>
      </c>
      <c r="F412" s="28">
        <f t="shared" si="1"/>
        <v>1300</v>
      </c>
    </row>
    <row r="413" spans="1:6" x14ac:dyDescent="0.25">
      <c r="A413" s="46">
        <v>44121615</v>
      </c>
      <c r="B413" s="58" t="s">
        <v>146</v>
      </c>
      <c r="C413" s="52" t="s">
        <v>68</v>
      </c>
      <c r="D413" s="59">
        <v>10</v>
      </c>
      <c r="E413" s="54">
        <v>250</v>
      </c>
      <c r="F413" s="28">
        <f t="shared" si="1"/>
        <v>2500</v>
      </c>
    </row>
    <row r="414" spans="1:6" x14ac:dyDescent="0.25">
      <c r="A414" s="46">
        <v>44121618</v>
      </c>
      <c r="B414" s="58" t="s">
        <v>147</v>
      </c>
      <c r="C414" s="52" t="s">
        <v>68</v>
      </c>
      <c r="D414" s="59">
        <v>7</v>
      </c>
      <c r="E414" s="54">
        <v>100</v>
      </c>
      <c r="F414" s="28">
        <f t="shared" si="1"/>
        <v>700</v>
      </c>
    </row>
    <row r="415" spans="1:6" x14ac:dyDescent="0.25">
      <c r="A415" s="46">
        <v>44111509</v>
      </c>
      <c r="B415" s="58" t="s">
        <v>148</v>
      </c>
      <c r="C415" s="52" t="s">
        <v>68</v>
      </c>
      <c r="D415" s="59">
        <v>7</v>
      </c>
      <c r="E415" s="54">
        <v>110</v>
      </c>
      <c r="F415" s="28">
        <f t="shared" si="1"/>
        <v>770</v>
      </c>
    </row>
    <row r="416" spans="1:6" x14ac:dyDescent="0.25">
      <c r="A416" s="46">
        <v>44121635</v>
      </c>
      <c r="B416" s="58" t="s">
        <v>149</v>
      </c>
      <c r="C416" s="52" t="s">
        <v>68</v>
      </c>
      <c r="D416" s="59">
        <v>7</v>
      </c>
      <c r="E416" s="54">
        <v>200</v>
      </c>
      <c r="F416" s="28">
        <f t="shared" si="1"/>
        <v>1400</v>
      </c>
    </row>
    <row r="417" spans="1:6" x14ac:dyDescent="0.25">
      <c r="A417" s="46" t="s">
        <v>150</v>
      </c>
      <c r="B417" s="58" t="s">
        <v>151</v>
      </c>
      <c r="C417" s="52" t="s">
        <v>68</v>
      </c>
      <c r="D417" s="3">
        <v>10</v>
      </c>
      <c r="E417" s="54">
        <v>40</v>
      </c>
      <c r="F417" s="28">
        <f t="shared" si="1"/>
        <v>400</v>
      </c>
    </row>
    <row r="418" spans="1:6" x14ac:dyDescent="0.25">
      <c r="A418" s="60" t="s">
        <v>152</v>
      </c>
      <c r="B418" s="58" t="s">
        <v>153</v>
      </c>
      <c r="C418" s="52" t="s">
        <v>99</v>
      </c>
      <c r="D418" s="59">
        <v>10</v>
      </c>
      <c r="E418" s="54">
        <v>75</v>
      </c>
      <c r="F418" s="28">
        <f t="shared" si="1"/>
        <v>750</v>
      </c>
    </row>
    <row r="419" spans="1:6" x14ac:dyDescent="0.25">
      <c r="A419" s="60">
        <v>44101602</v>
      </c>
      <c r="B419" s="58" t="s">
        <v>154</v>
      </c>
      <c r="C419" s="52" t="s">
        <v>68</v>
      </c>
      <c r="D419" s="3">
        <v>2</v>
      </c>
      <c r="E419" s="54">
        <v>450</v>
      </c>
      <c r="F419" s="28">
        <f t="shared" si="1"/>
        <v>900</v>
      </c>
    </row>
    <row r="420" spans="1:6" x14ac:dyDescent="0.25">
      <c r="A420" s="60">
        <v>44121701</v>
      </c>
      <c r="B420" s="58" t="s">
        <v>155</v>
      </c>
      <c r="C420" s="52" t="s">
        <v>99</v>
      </c>
      <c r="D420" s="3">
        <v>10</v>
      </c>
      <c r="E420" s="54">
        <v>250</v>
      </c>
      <c r="F420" s="28">
        <f t="shared" si="1"/>
        <v>2500</v>
      </c>
    </row>
    <row r="421" spans="1:6" x14ac:dyDescent="0.25">
      <c r="A421" s="60">
        <v>44121701</v>
      </c>
      <c r="B421" s="58" t="s">
        <v>156</v>
      </c>
      <c r="C421" s="52" t="s">
        <v>99</v>
      </c>
      <c r="D421" s="3">
        <v>10</v>
      </c>
      <c r="E421" s="54">
        <v>250</v>
      </c>
      <c r="F421" s="28">
        <f t="shared" si="1"/>
        <v>2500</v>
      </c>
    </row>
    <row r="422" spans="1:6" s="110" customFormat="1" x14ac:dyDescent="0.25">
      <c r="A422" s="122">
        <v>44121802</v>
      </c>
      <c r="B422" s="99" t="s">
        <v>157</v>
      </c>
      <c r="C422" s="104" t="s">
        <v>68</v>
      </c>
      <c r="D422" s="3">
        <v>5</v>
      </c>
      <c r="E422" s="121">
        <v>85</v>
      </c>
      <c r="F422" s="57">
        <f t="shared" si="1"/>
        <v>425</v>
      </c>
    </row>
    <row r="423" spans="1:6" x14ac:dyDescent="0.25">
      <c r="A423" s="46"/>
      <c r="B423" s="58"/>
      <c r="C423" s="52"/>
      <c r="D423" s="59"/>
      <c r="E423" s="54"/>
      <c r="F423" s="28">
        <f t="shared" si="1"/>
        <v>0</v>
      </c>
    </row>
    <row r="424" spans="1:6" x14ac:dyDescent="0.25">
      <c r="A424" s="46"/>
      <c r="B424" s="61"/>
      <c r="C424" s="52"/>
      <c r="D424" s="62"/>
      <c r="E424" s="54"/>
      <c r="F424" s="28">
        <f t="shared" si="1"/>
        <v>0</v>
      </c>
    </row>
    <row r="425" spans="1:6" ht="16.5" x14ac:dyDescent="0.25">
      <c r="A425" s="1"/>
      <c r="B425" s="1"/>
      <c r="C425" s="1"/>
      <c r="D425" s="1"/>
      <c r="E425" s="49" t="s">
        <v>40</v>
      </c>
      <c r="F425" s="50">
        <f>SUM(F401:F422)</f>
        <v>64845</v>
      </c>
    </row>
    <row r="429" spans="1:6" ht="15.75" thickBot="1" x14ac:dyDescent="0.3"/>
    <row r="430" spans="1:6" ht="45.75" thickBot="1" x14ac:dyDescent="0.3">
      <c r="A430" s="37" t="s">
        <v>41</v>
      </c>
      <c r="B430" s="37" t="s">
        <v>42</v>
      </c>
      <c r="C430" s="37" t="s">
        <v>43</v>
      </c>
      <c r="D430" s="37" t="s">
        <v>44</v>
      </c>
      <c r="E430" s="37" t="s">
        <v>45</v>
      </c>
      <c r="F430" s="37" t="s">
        <v>46</v>
      </c>
    </row>
    <row r="431" spans="1:6" ht="58.5" thickBot="1" x14ac:dyDescent="0.3">
      <c r="A431" s="32" t="s">
        <v>158</v>
      </c>
      <c r="B431" s="43" t="s">
        <v>91</v>
      </c>
      <c r="C431" s="33" t="s">
        <v>92</v>
      </c>
      <c r="D431" s="32" t="s">
        <v>50</v>
      </c>
      <c r="E431" s="33" t="s">
        <v>51</v>
      </c>
      <c r="F431" s="33"/>
    </row>
    <row r="432" spans="1:6" ht="15.75" thickBot="1" x14ac:dyDescent="0.3">
      <c r="A432" s="126" t="s">
        <v>16</v>
      </c>
      <c r="B432" s="20" t="s">
        <v>17</v>
      </c>
      <c r="C432" s="21">
        <v>45026</v>
      </c>
      <c r="D432" s="126" t="s">
        <v>18</v>
      </c>
      <c r="E432" s="22" t="s">
        <v>19</v>
      </c>
      <c r="F432" s="23" t="s">
        <v>20</v>
      </c>
    </row>
    <row r="433" spans="1:6" ht="15.75" thickBot="1" x14ac:dyDescent="0.3">
      <c r="A433" s="127"/>
      <c r="B433" s="20" t="s">
        <v>21</v>
      </c>
      <c r="C433" s="20">
        <v>2</v>
      </c>
      <c r="D433" s="127"/>
      <c r="E433" s="22" t="s">
        <v>22</v>
      </c>
      <c r="F433" s="23" t="s">
        <v>23</v>
      </c>
    </row>
    <row r="434" spans="1:6" ht="15.75" thickBot="1" x14ac:dyDescent="0.3">
      <c r="A434" s="127"/>
      <c r="B434" s="20" t="s">
        <v>24</v>
      </c>
      <c r="C434" s="21">
        <v>45031</v>
      </c>
      <c r="D434" s="127"/>
      <c r="E434" s="22" t="s">
        <v>25</v>
      </c>
      <c r="F434" s="23"/>
    </row>
    <row r="435" spans="1:6" ht="15.75" thickBot="1" x14ac:dyDescent="0.3">
      <c r="A435" s="127"/>
      <c r="B435" s="20" t="s">
        <v>21</v>
      </c>
      <c r="C435" s="20">
        <v>2</v>
      </c>
      <c r="D435" s="127"/>
      <c r="E435" s="22" t="s">
        <v>26</v>
      </c>
      <c r="F435" s="23"/>
    </row>
    <row r="436" spans="1:6" ht="17.25" thickBot="1" x14ac:dyDescent="0.3">
      <c r="A436" s="1"/>
      <c r="B436" s="1"/>
      <c r="C436" s="1"/>
      <c r="D436" s="1"/>
      <c r="E436" s="1"/>
      <c r="F436" s="1"/>
    </row>
    <row r="437" spans="1:6" x14ac:dyDescent="0.25">
      <c r="A437" s="45" t="s">
        <v>27</v>
      </c>
      <c r="B437" s="45" t="s">
        <v>28</v>
      </c>
      <c r="C437" s="45" t="s">
        <v>29</v>
      </c>
      <c r="D437" s="45" t="s">
        <v>30</v>
      </c>
      <c r="E437" s="45" t="s">
        <v>31</v>
      </c>
      <c r="F437" s="45" t="s">
        <v>32</v>
      </c>
    </row>
    <row r="438" spans="1:6" x14ac:dyDescent="0.25">
      <c r="A438" s="46">
        <v>14111507</v>
      </c>
      <c r="B438" s="58" t="s">
        <v>133</v>
      </c>
      <c r="C438" s="26" t="s">
        <v>134</v>
      </c>
      <c r="D438" s="25">
        <v>50</v>
      </c>
      <c r="E438" s="27">
        <v>400</v>
      </c>
      <c r="F438" s="28">
        <f>+Table4101418172830323688[[#This Row],[PRECIO UNITARIO ESTIMADO]]*Table4101418172830323688[[#This Row],[CANTIDAD TOTAL ESTIMADA]]</f>
        <v>20000</v>
      </c>
    </row>
    <row r="439" spans="1:6" x14ac:dyDescent="0.25">
      <c r="A439" s="46">
        <v>14111507</v>
      </c>
      <c r="B439" s="58" t="s">
        <v>135</v>
      </c>
      <c r="C439" s="26" t="s">
        <v>134</v>
      </c>
      <c r="D439" s="2">
        <v>10</v>
      </c>
      <c r="E439" s="27">
        <v>600</v>
      </c>
      <c r="F439" s="28">
        <f>+Table4101418172830323688[[#This Row],[PRECIO UNITARIO ESTIMADO]]*Table4101418172830323688[[#This Row],[CANTIDAD TOTAL ESTIMADA]]</f>
        <v>6000</v>
      </c>
    </row>
    <row r="440" spans="1:6" x14ac:dyDescent="0.25">
      <c r="A440" s="46">
        <v>14111530</v>
      </c>
      <c r="B440" s="58" t="s">
        <v>136</v>
      </c>
      <c r="C440" s="26" t="s">
        <v>68</v>
      </c>
      <c r="D440" s="25">
        <v>10</v>
      </c>
      <c r="E440" s="27">
        <v>125</v>
      </c>
      <c r="F440" s="28">
        <f>+Table4101418172830323688[[#This Row],[PRECIO UNITARIO ESTIMADO]]*Table4101418172830323688[[#This Row],[CANTIDAD TOTAL ESTIMADA]]</f>
        <v>1250</v>
      </c>
    </row>
    <row r="441" spans="1:6" x14ac:dyDescent="0.25">
      <c r="A441" s="46">
        <v>44121716</v>
      </c>
      <c r="B441" s="58" t="s">
        <v>137</v>
      </c>
      <c r="C441" s="26" t="s">
        <v>68</v>
      </c>
      <c r="D441" s="25">
        <v>20</v>
      </c>
      <c r="E441" s="27">
        <v>25</v>
      </c>
      <c r="F441" s="28">
        <f>+Table4101418172830323688[[#This Row],[PRECIO UNITARIO ESTIMADO]]*Table4101418172830323688[[#This Row],[CANTIDAD TOTAL ESTIMADA]]</f>
        <v>500</v>
      </c>
    </row>
    <row r="442" spans="1:6" x14ac:dyDescent="0.25">
      <c r="A442" s="46">
        <v>44122010</v>
      </c>
      <c r="B442" s="58" t="s">
        <v>138</v>
      </c>
      <c r="C442" s="52" t="s">
        <v>94</v>
      </c>
      <c r="D442" s="53">
        <v>20</v>
      </c>
      <c r="E442" s="54">
        <v>120</v>
      </c>
      <c r="F442" s="55">
        <f>+Table4101418172830323688[[#This Row],[PRECIO UNITARIO ESTIMADO]]*Table4101418172830323688[[#This Row],[CANTIDAD TOTAL ESTIMADA]]</f>
        <v>2400</v>
      </c>
    </row>
    <row r="443" spans="1:6" x14ac:dyDescent="0.25">
      <c r="A443" s="46">
        <v>43211708</v>
      </c>
      <c r="B443" s="58" t="s">
        <v>139</v>
      </c>
      <c r="C443" s="52" t="s">
        <v>94</v>
      </c>
      <c r="D443" s="53">
        <v>10</v>
      </c>
      <c r="E443" s="54">
        <v>300</v>
      </c>
      <c r="F443" s="55">
        <f>+Table4101418172830323688[[#This Row],[PRECIO UNITARIO ESTIMADO]]*Table4101418172830323688[[#This Row],[CANTIDAD TOTAL ESTIMADA]]</f>
        <v>3000</v>
      </c>
    </row>
    <row r="444" spans="1:6" x14ac:dyDescent="0.25">
      <c r="A444" s="46">
        <v>44122018</v>
      </c>
      <c r="B444" s="58" t="s">
        <v>140</v>
      </c>
      <c r="C444" s="52" t="s">
        <v>94</v>
      </c>
      <c r="D444" s="53">
        <v>10</v>
      </c>
      <c r="E444" s="54">
        <v>875</v>
      </c>
      <c r="F444" s="55">
        <f>+Table4101418172830323688[[#This Row],[PRECIO UNITARIO ESTIMADO]]*Table4101418172830323688[[#This Row],[CANTIDAD TOTAL ESTIMADA]]</f>
        <v>8750</v>
      </c>
    </row>
    <row r="445" spans="1:6" x14ac:dyDescent="0.25">
      <c r="A445" s="46">
        <v>31201512</v>
      </c>
      <c r="B445" s="58" t="s">
        <v>141</v>
      </c>
      <c r="C445" s="52" t="s">
        <v>68</v>
      </c>
      <c r="D445" s="59">
        <v>10</v>
      </c>
      <c r="E445" s="54">
        <v>160</v>
      </c>
      <c r="F445" s="55">
        <f>+Table4101418172830323688[[#This Row],[PRECIO UNITARIO ESTIMADO]]*Table4101418172830323688[[#This Row],[CANTIDAD TOTAL ESTIMADA]]</f>
        <v>1600</v>
      </c>
    </row>
    <row r="446" spans="1:6" x14ac:dyDescent="0.25">
      <c r="A446" s="46">
        <v>44111503</v>
      </c>
      <c r="B446" s="58" t="s">
        <v>142</v>
      </c>
      <c r="C446" s="52" t="s">
        <v>68</v>
      </c>
      <c r="D446" s="59">
        <v>10</v>
      </c>
      <c r="E446" s="54">
        <v>350</v>
      </c>
      <c r="F446" s="55">
        <f>+Table4101418172830323688[[#This Row],[PRECIO UNITARIO ESTIMADO]]*Table4101418172830323688[[#This Row],[CANTIDAD TOTAL ESTIMADA]]</f>
        <v>3500</v>
      </c>
    </row>
    <row r="447" spans="1:6" x14ac:dyDescent="0.25">
      <c r="A447" s="46">
        <v>44122002</v>
      </c>
      <c r="B447" s="58" t="s">
        <v>143</v>
      </c>
      <c r="C447" s="52" t="s">
        <v>94</v>
      </c>
      <c r="D447" s="59">
        <v>10</v>
      </c>
      <c r="E447" s="54">
        <v>300</v>
      </c>
      <c r="F447" s="55">
        <f>+Table4101418172830323688[[#This Row],[PRECIO UNITARIO ESTIMADO]]*Table4101418172830323688[[#This Row],[CANTIDAD TOTAL ESTIMADA]]</f>
        <v>3000</v>
      </c>
    </row>
    <row r="448" spans="1:6" x14ac:dyDescent="0.25">
      <c r="A448" s="46">
        <v>44122104</v>
      </c>
      <c r="B448" s="58" t="s">
        <v>144</v>
      </c>
      <c r="C448" s="52" t="s">
        <v>99</v>
      </c>
      <c r="D448" s="59">
        <v>10</v>
      </c>
      <c r="E448" s="54">
        <v>70</v>
      </c>
      <c r="F448" s="55">
        <f>+Table4101418172830323688[[#This Row],[PRECIO UNITARIO ESTIMADO]]*Table4101418172830323688[[#This Row],[CANTIDAD TOTAL ESTIMADA]]</f>
        <v>700</v>
      </c>
    </row>
    <row r="449" spans="1:6" x14ac:dyDescent="0.25">
      <c r="A449" s="46">
        <v>14111515</v>
      </c>
      <c r="B449" s="58" t="s">
        <v>145</v>
      </c>
      <c r="C449" s="52" t="s">
        <v>68</v>
      </c>
      <c r="D449" s="59">
        <v>10</v>
      </c>
      <c r="E449" s="54">
        <v>130</v>
      </c>
      <c r="F449" s="55">
        <f>+Table4101418172830323688[[#This Row],[PRECIO UNITARIO ESTIMADO]]*Table4101418172830323688[[#This Row],[CANTIDAD TOTAL ESTIMADA]]</f>
        <v>1300</v>
      </c>
    </row>
    <row r="450" spans="1:6" x14ac:dyDescent="0.25">
      <c r="A450" s="46">
        <v>44121615</v>
      </c>
      <c r="B450" s="58" t="s">
        <v>146</v>
      </c>
      <c r="C450" s="52" t="s">
        <v>68</v>
      </c>
      <c r="D450" s="59">
        <v>10</v>
      </c>
      <c r="E450" s="54">
        <v>250</v>
      </c>
      <c r="F450" s="55">
        <f>+Table4101418172830323688[[#This Row],[PRECIO UNITARIO ESTIMADO]]*Table4101418172830323688[[#This Row],[CANTIDAD TOTAL ESTIMADA]]</f>
        <v>2500</v>
      </c>
    </row>
    <row r="451" spans="1:6" s="110" customFormat="1" x14ac:dyDescent="0.25">
      <c r="A451" s="103">
        <v>44121618</v>
      </c>
      <c r="B451" s="99" t="s">
        <v>147</v>
      </c>
      <c r="C451" s="104" t="s">
        <v>68</v>
      </c>
      <c r="D451" s="59">
        <v>1</v>
      </c>
      <c r="E451" s="121">
        <v>100</v>
      </c>
      <c r="F451" s="57">
        <f>+Table4101418172830323688[[#This Row],[PRECIO UNITARIO ESTIMADO]]*Table4101418172830323688[[#This Row],[CANTIDAD TOTAL ESTIMADA]]</f>
        <v>100</v>
      </c>
    </row>
    <row r="452" spans="1:6" x14ac:dyDescent="0.25">
      <c r="A452" s="46">
        <v>44111509</v>
      </c>
      <c r="B452" s="58" t="s">
        <v>148</v>
      </c>
      <c r="C452" s="52" t="s">
        <v>68</v>
      </c>
      <c r="D452" s="59">
        <v>7</v>
      </c>
      <c r="E452" s="54">
        <v>110</v>
      </c>
      <c r="F452" s="55">
        <f>+Table4101418172830323688[[#This Row],[PRECIO UNITARIO ESTIMADO]]*Table4101418172830323688[[#This Row],[CANTIDAD TOTAL ESTIMADA]]</f>
        <v>770</v>
      </c>
    </row>
    <row r="453" spans="1:6" x14ac:dyDescent="0.25">
      <c r="A453" s="46">
        <v>44121635</v>
      </c>
      <c r="B453" s="58" t="s">
        <v>149</v>
      </c>
      <c r="C453" s="52" t="s">
        <v>68</v>
      </c>
      <c r="D453" s="59">
        <v>7</v>
      </c>
      <c r="E453" s="54">
        <v>200</v>
      </c>
      <c r="F453" s="55">
        <f>+Table4101418172830323688[[#This Row],[PRECIO UNITARIO ESTIMADO]]*Table4101418172830323688[[#This Row],[CANTIDAD TOTAL ESTIMADA]]</f>
        <v>1400</v>
      </c>
    </row>
    <row r="454" spans="1:6" x14ac:dyDescent="0.25">
      <c r="A454" s="46" t="s">
        <v>150</v>
      </c>
      <c r="B454" s="58" t="s">
        <v>151</v>
      </c>
      <c r="C454" s="52" t="s">
        <v>68</v>
      </c>
      <c r="D454" s="62">
        <v>10</v>
      </c>
      <c r="E454" s="54">
        <v>40</v>
      </c>
      <c r="F454" s="55">
        <f>+Table4101418172830323688[[#This Row],[PRECIO UNITARIO ESTIMADO]]*Table4101418172830323688[[#This Row],[CANTIDAD TOTAL ESTIMADA]]</f>
        <v>400</v>
      </c>
    </row>
    <row r="455" spans="1:6" x14ac:dyDescent="0.25">
      <c r="A455" s="60" t="s">
        <v>152</v>
      </c>
      <c r="B455" s="58" t="s">
        <v>153</v>
      </c>
      <c r="C455" s="52" t="s">
        <v>99</v>
      </c>
      <c r="D455" s="59">
        <v>10</v>
      </c>
      <c r="E455" s="54">
        <v>75</v>
      </c>
      <c r="F455" s="55">
        <f>+Table4101418172830323688[[#This Row],[PRECIO UNITARIO ESTIMADO]]*Table4101418172830323688[[#This Row],[CANTIDAD TOTAL ESTIMADA]]</f>
        <v>750</v>
      </c>
    </row>
    <row r="456" spans="1:6" s="110" customFormat="1" x14ac:dyDescent="0.25">
      <c r="A456" s="122">
        <v>44101602</v>
      </c>
      <c r="B456" s="99" t="s">
        <v>154</v>
      </c>
      <c r="C456" s="104" t="s">
        <v>68</v>
      </c>
      <c r="D456" s="3">
        <v>2</v>
      </c>
      <c r="E456" s="121">
        <v>450</v>
      </c>
      <c r="F456" s="57">
        <f>+Table4101418172830323688[[#This Row],[PRECIO UNITARIO ESTIMADO]]*Table4101418172830323688[[#This Row],[CANTIDAD TOTAL ESTIMADA]]</f>
        <v>900</v>
      </c>
    </row>
    <row r="457" spans="1:6" x14ac:dyDescent="0.25">
      <c r="A457" s="60">
        <v>44121701</v>
      </c>
      <c r="B457" s="58" t="s">
        <v>155</v>
      </c>
      <c r="C457" s="52" t="s">
        <v>99</v>
      </c>
      <c r="D457" s="3">
        <v>10</v>
      </c>
      <c r="E457" s="54">
        <v>250</v>
      </c>
      <c r="F457" s="55">
        <f>+Table4101418172830323688[[#This Row],[PRECIO UNITARIO ESTIMADO]]*Table4101418172830323688[[#This Row],[CANTIDAD TOTAL ESTIMADA]]</f>
        <v>2500</v>
      </c>
    </row>
    <row r="458" spans="1:6" x14ac:dyDescent="0.25">
      <c r="A458" s="60">
        <v>44121701</v>
      </c>
      <c r="B458" s="58" t="s">
        <v>156</v>
      </c>
      <c r="C458" s="52" t="s">
        <v>99</v>
      </c>
      <c r="D458" s="3">
        <v>10</v>
      </c>
      <c r="E458" s="54">
        <v>250</v>
      </c>
      <c r="F458" s="55">
        <f>+Table4101418172830323688[[#This Row],[PRECIO UNITARIO ESTIMADO]]*Table4101418172830323688[[#This Row],[CANTIDAD TOTAL ESTIMADA]]</f>
        <v>2500</v>
      </c>
    </row>
    <row r="459" spans="1:6" s="110" customFormat="1" x14ac:dyDescent="0.25">
      <c r="A459" s="122">
        <v>44121802</v>
      </c>
      <c r="B459" s="99" t="s">
        <v>157</v>
      </c>
      <c r="C459" s="104" t="s">
        <v>68</v>
      </c>
      <c r="D459" s="3">
        <v>10</v>
      </c>
      <c r="E459" s="121">
        <v>85</v>
      </c>
      <c r="F459" s="57">
        <f>+Table4101418172830323688[[#This Row],[PRECIO UNITARIO ESTIMADO]]*Table4101418172830323688[[#This Row],[CANTIDAD TOTAL ESTIMADA]]</f>
        <v>850</v>
      </c>
    </row>
    <row r="460" spans="1:6" x14ac:dyDescent="0.25">
      <c r="A460" s="46"/>
      <c r="B460" s="58"/>
      <c r="C460" s="52"/>
      <c r="D460" s="59"/>
      <c r="E460" s="54"/>
      <c r="F460" s="55">
        <f>+Table4101418172830323688[[#This Row],[PRECIO UNITARIO ESTIMADO]]*Table4101418172830323688[[#This Row],[CANTIDAD TOTAL ESTIMADA]]</f>
        <v>0</v>
      </c>
    </row>
    <row r="461" spans="1:6" x14ac:dyDescent="0.25">
      <c r="A461" s="46"/>
      <c r="B461" s="61"/>
      <c r="C461" s="52"/>
      <c r="D461" s="62"/>
      <c r="E461" s="54"/>
      <c r="F461" s="55">
        <f>+Table4101418172830323688[[#This Row],[PRECIO UNITARIO ESTIMADO]]*Table4101418172830323688[[#This Row],[CANTIDAD TOTAL ESTIMADA]]</f>
        <v>0</v>
      </c>
    </row>
    <row r="462" spans="1:6" ht="16.5" x14ac:dyDescent="0.25">
      <c r="A462" s="1"/>
      <c r="B462" s="1"/>
      <c r="C462" s="1"/>
      <c r="D462" s="1"/>
      <c r="E462" s="49" t="s">
        <v>40</v>
      </c>
      <c r="F462" s="50">
        <f>SUBTOTAL(109,Table4101418172830323688[MONTO TOTAL ESTIMADO])</f>
        <v>64670</v>
      </c>
    </row>
    <row r="465" spans="1:6" ht="15.75" thickBot="1" x14ac:dyDescent="0.3"/>
    <row r="466" spans="1:6" ht="45.75" thickBot="1" x14ac:dyDescent="0.3">
      <c r="A466" s="37" t="s">
        <v>41</v>
      </c>
      <c r="B466" s="37" t="s">
        <v>42</v>
      </c>
      <c r="C466" s="37" t="s">
        <v>43</v>
      </c>
      <c r="D466" s="37" t="s">
        <v>44</v>
      </c>
      <c r="E466" s="37" t="s">
        <v>45</v>
      </c>
      <c r="F466" s="37" t="s">
        <v>46</v>
      </c>
    </row>
    <row r="467" spans="1:6" ht="58.5" thickBot="1" x14ac:dyDescent="0.3">
      <c r="A467" s="32" t="s">
        <v>159</v>
      </c>
      <c r="B467" s="43" t="s">
        <v>91</v>
      </c>
      <c r="C467" s="33" t="s">
        <v>92</v>
      </c>
      <c r="D467" s="32" t="s">
        <v>50</v>
      </c>
      <c r="E467" s="33" t="s">
        <v>51</v>
      </c>
      <c r="F467" s="33"/>
    </row>
    <row r="468" spans="1:6" ht="15.75" thickBot="1" x14ac:dyDescent="0.3">
      <c r="A468" s="126" t="s">
        <v>16</v>
      </c>
      <c r="B468" s="20" t="s">
        <v>17</v>
      </c>
      <c r="C468" s="21">
        <v>45117</v>
      </c>
      <c r="D468" s="126" t="s">
        <v>18</v>
      </c>
      <c r="E468" s="22" t="s">
        <v>19</v>
      </c>
      <c r="F468" s="23" t="s">
        <v>20</v>
      </c>
    </row>
    <row r="469" spans="1:6" ht="15.75" thickBot="1" x14ac:dyDescent="0.3">
      <c r="A469" s="127"/>
      <c r="B469" s="20" t="s">
        <v>21</v>
      </c>
      <c r="C469" s="20">
        <v>3</v>
      </c>
      <c r="D469" s="127"/>
      <c r="E469" s="22" t="s">
        <v>22</v>
      </c>
      <c r="F469" s="23" t="s">
        <v>23</v>
      </c>
    </row>
    <row r="470" spans="1:6" ht="15.75" thickBot="1" x14ac:dyDescent="0.3">
      <c r="A470" s="127"/>
      <c r="B470" s="20" t="s">
        <v>24</v>
      </c>
      <c r="C470" s="21">
        <v>45122</v>
      </c>
      <c r="D470" s="127"/>
      <c r="E470" s="22" t="s">
        <v>25</v>
      </c>
      <c r="F470" s="23"/>
    </row>
    <row r="471" spans="1:6" ht="15.75" thickBot="1" x14ac:dyDescent="0.3">
      <c r="A471" s="127"/>
      <c r="B471" s="20" t="s">
        <v>21</v>
      </c>
      <c r="C471" s="20">
        <v>3</v>
      </c>
      <c r="D471" s="127"/>
      <c r="E471" s="22" t="s">
        <v>26</v>
      </c>
      <c r="F471" s="23"/>
    </row>
    <row r="472" spans="1:6" ht="17.25" thickBot="1" x14ac:dyDescent="0.3">
      <c r="A472" s="1"/>
      <c r="B472" s="1"/>
      <c r="C472" s="1"/>
      <c r="D472" s="1"/>
      <c r="E472" s="1"/>
      <c r="F472" s="1"/>
    </row>
    <row r="473" spans="1:6" x14ac:dyDescent="0.25">
      <c r="A473" s="45" t="s">
        <v>27</v>
      </c>
      <c r="B473" s="45" t="s">
        <v>28</v>
      </c>
      <c r="C473" s="45" t="s">
        <v>29</v>
      </c>
      <c r="D473" s="45" t="s">
        <v>30</v>
      </c>
      <c r="E473" s="45" t="s">
        <v>31</v>
      </c>
      <c r="F473" s="45" t="s">
        <v>32</v>
      </c>
    </row>
    <row r="474" spans="1:6" x14ac:dyDescent="0.25">
      <c r="A474" s="46">
        <v>14111507</v>
      </c>
      <c r="B474" s="58" t="s">
        <v>133</v>
      </c>
      <c r="C474" s="26" t="s">
        <v>134</v>
      </c>
      <c r="D474" s="25">
        <v>50</v>
      </c>
      <c r="E474" s="27">
        <v>400</v>
      </c>
      <c r="F474" s="28">
        <f>+Table410141817283032363889[[#This Row],[PRECIO UNITARIO ESTIMADO]]*Table410141817283032363889[[#This Row],[CANTIDAD TOTAL ESTIMADA]]</f>
        <v>20000</v>
      </c>
    </row>
    <row r="475" spans="1:6" x14ac:dyDescent="0.25">
      <c r="A475" s="46">
        <v>14111507</v>
      </c>
      <c r="B475" s="58" t="s">
        <v>135</v>
      </c>
      <c r="C475" s="26" t="s">
        <v>134</v>
      </c>
      <c r="D475" s="2">
        <v>10</v>
      </c>
      <c r="E475" s="27">
        <v>600</v>
      </c>
      <c r="F475" s="28">
        <f>+Table410141817283032363889[[#This Row],[PRECIO UNITARIO ESTIMADO]]*Table410141817283032363889[[#This Row],[CANTIDAD TOTAL ESTIMADA]]</f>
        <v>6000</v>
      </c>
    </row>
    <row r="476" spans="1:6" x14ac:dyDescent="0.25">
      <c r="A476" s="46">
        <v>14111530</v>
      </c>
      <c r="B476" s="58" t="s">
        <v>136</v>
      </c>
      <c r="C476" s="26" t="s">
        <v>68</v>
      </c>
      <c r="D476" s="25">
        <v>10</v>
      </c>
      <c r="E476" s="27">
        <v>125</v>
      </c>
      <c r="F476" s="28">
        <f>+Table410141817283032363889[[#This Row],[PRECIO UNITARIO ESTIMADO]]*Table410141817283032363889[[#This Row],[CANTIDAD TOTAL ESTIMADA]]</f>
        <v>1250</v>
      </c>
    </row>
    <row r="477" spans="1:6" x14ac:dyDescent="0.25">
      <c r="A477" s="46">
        <v>44121716</v>
      </c>
      <c r="B477" s="58" t="s">
        <v>137</v>
      </c>
      <c r="C477" s="26" t="s">
        <v>68</v>
      </c>
      <c r="D477" s="25">
        <v>20</v>
      </c>
      <c r="E477" s="27">
        <v>25</v>
      </c>
      <c r="F477" s="28">
        <f>+Table410141817283032363889[[#This Row],[PRECIO UNITARIO ESTIMADO]]*Table410141817283032363889[[#This Row],[CANTIDAD TOTAL ESTIMADA]]</f>
        <v>500</v>
      </c>
    </row>
    <row r="478" spans="1:6" x14ac:dyDescent="0.25">
      <c r="A478" s="46">
        <v>44122010</v>
      </c>
      <c r="B478" s="58" t="s">
        <v>138</v>
      </c>
      <c r="C478" s="52" t="s">
        <v>94</v>
      </c>
      <c r="D478" s="53">
        <v>20</v>
      </c>
      <c r="E478" s="54">
        <v>120</v>
      </c>
      <c r="F478" s="55">
        <f>+Table410141817283032363889[[#This Row],[PRECIO UNITARIO ESTIMADO]]*Table410141817283032363889[[#This Row],[CANTIDAD TOTAL ESTIMADA]]</f>
        <v>2400</v>
      </c>
    </row>
    <row r="479" spans="1:6" x14ac:dyDescent="0.25">
      <c r="A479" s="46">
        <v>43211708</v>
      </c>
      <c r="B479" s="58" t="s">
        <v>139</v>
      </c>
      <c r="C479" s="52" t="s">
        <v>94</v>
      </c>
      <c r="D479" s="53">
        <v>10</v>
      </c>
      <c r="E479" s="54">
        <v>300</v>
      </c>
      <c r="F479" s="55">
        <f>+Table410141817283032363889[[#This Row],[PRECIO UNITARIO ESTIMADO]]*Table410141817283032363889[[#This Row],[CANTIDAD TOTAL ESTIMADA]]</f>
        <v>3000</v>
      </c>
    </row>
    <row r="480" spans="1:6" x14ac:dyDescent="0.25">
      <c r="A480" s="46">
        <v>44122018</v>
      </c>
      <c r="B480" s="58" t="s">
        <v>140</v>
      </c>
      <c r="C480" s="52" t="s">
        <v>94</v>
      </c>
      <c r="D480" s="53">
        <v>10</v>
      </c>
      <c r="E480" s="54">
        <v>875</v>
      </c>
      <c r="F480" s="55">
        <f>+Table410141817283032363889[[#This Row],[PRECIO UNITARIO ESTIMADO]]*Table410141817283032363889[[#This Row],[CANTIDAD TOTAL ESTIMADA]]</f>
        <v>8750</v>
      </c>
    </row>
    <row r="481" spans="1:6" x14ac:dyDescent="0.25">
      <c r="A481" s="46">
        <v>31201512</v>
      </c>
      <c r="B481" s="58" t="s">
        <v>141</v>
      </c>
      <c r="C481" s="52" t="s">
        <v>68</v>
      </c>
      <c r="D481" s="59">
        <v>10</v>
      </c>
      <c r="E481" s="54">
        <v>160</v>
      </c>
      <c r="F481" s="55">
        <f>+Table410141817283032363889[[#This Row],[PRECIO UNITARIO ESTIMADO]]*Table410141817283032363889[[#This Row],[CANTIDAD TOTAL ESTIMADA]]</f>
        <v>1600</v>
      </c>
    </row>
    <row r="482" spans="1:6" x14ac:dyDescent="0.25">
      <c r="A482" s="46">
        <v>44111503</v>
      </c>
      <c r="B482" s="58" t="s">
        <v>142</v>
      </c>
      <c r="C482" s="52" t="s">
        <v>68</v>
      </c>
      <c r="D482" s="59">
        <v>10</v>
      </c>
      <c r="E482" s="54">
        <v>350</v>
      </c>
      <c r="F482" s="55">
        <f>+Table410141817283032363889[[#This Row],[PRECIO UNITARIO ESTIMADO]]*Table410141817283032363889[[#This Row],[CANTIDAD TOTAL ESTIMADA]]</f>
        <v>3500</v>
      </c>
    </row>
    <row r="483" spans="1:6" x14ac:dyDescent="0.25">
      <c r="A483" s="46">
        <v>44122002</v>
      </c>
      <c r="B483" s="58" t="s">
        <v>143</v>
      </c>
      <c r="C483" s="52" t="s">
        <v>94</v>
      </c>
      <c r="D483" s="59">
        <v>10</v>
      </c>
      <c r="E483" s="54">
        <v>300</v>
      </c>
      <c r="F483" s="55">
        <f>+Table410141817283032363889[[#This Row],[PRECIO UNITARIO ESTIMADO]]*Table410141817283032363889[[#This Row],[CANTIDAD TOTAL ESTIMADA]]</f>
        <v>3000</v>
      </c>
    </row>
    <row r="484" spans="1:6" x14ac:dyDescent="0.25">
      <c r="A484" s="46">
        <v>44122104</v>
      </c>
      <c r="B484" s="58" t="s">
        <v>144</v>
      </c>
      <c r="C484" s="52" t="s">
        <v>99</v>
      </c>
      <c r="D484" s="59">
        <v>10</v>
      </c>
      <c r="E484" s="54">
        <v>70</v>
      </c>
      <c r="F484" s="55">
        <f>+Table410141817283032363889[[#This Row],[PRECIO UNITARIO ESTIMADO]]*Table410141817283032363889[[#This Row],[CANTIDAD TOTAL ESTIMADA]]</f>
        <v>700</v>
      </c>
    </row>
    <row r="485" spans="1:6" x14ac:dyDescent="0.25">
      <c r="A485" s="46">
        <v>14111515</v>
      </c>
      <c r="B485" s="58" t="s">
        <v>145</v>
      </c>
      <c r="C485" s="52" t="s">
        <v>68</v>
      </c>
      <c r="D485" s="59">
        <v>10</v>
      </c>
      <c r="E485" s="54">
        <v>130</v>
      </c>
      <c r="F485" s="55">
        <f>+Table410141817283032363889[[#This Row],[PRECIO UNITARIO ESTIMADO]]*Table410141817283032363889[[#This Row],[CANTIDAD TOTAL ESTIMADA]]</f>
        <v>1300</v>
      </c>
    </row>
    <row r="486" spans="1:6" x14ac:dyDescent="0.25">
      <c r="A486" s="46">
        <v>44121615</v>
      </c>
      <c r="B486" s="58" t="s">
        <v>146</v>
      </c>
      <c r="C486" s="52" t="s">
        <v>68</v>
      </c>
      <c r="D486" s="59">
        <v>10</v>
      </c>
      <c r="E486" s="54">
        <v>250</v>
      </c>
      <c r="F486" s="55">
        <f>+Table410141817283032363889[[#This Row],[PRECIO UNITARIO ESTIMADO]]*Table410141817283032363889[[#This Row],[CANTIDAD TOTAL ESTIMADA]]</f>
        <v>2500</v>
      </c>
    </row>
    <row r="487" spans="1:6" s="110" customFormat="1" x14ac:dyDescent="0.25">
      <c r="A487" s="103">
        <v>44121618</v>
      </c>
      <c r="B487" s="99" t="s">
        <v>147</v>
      </c>
      <c r="C487" s="104" t="s">
        <v>68</v>
      </c>
      <c r="D487" s="59">
        <v>2</v>
      </c>
      <c r="E487" s="121">
        <v>100</v>
      </c>
      <c r="F487" s="57">
        <f>+Table410141817283032363889[[#This Row],[PRECIO UNITARIO ESTIMADO]]*Table410141817283032363889[[#This Row],[CANTIDAD TOTAL ESTIMADA]]</f>
        <v>200</v>
      </c>
    </row>
    <row r="488" spans="1:6" x14ac:dyDescent="0.25">
      <c r="A488" s="46">
        <v>44111509</v>
      </c>
      <c r="B488" s="58" t="s">
        <v>148</v>
      </c>
      <c r="C488" s="52" t="s">
        <v>68</v>
      </c>
      <c r="D488" s="59">
        <v>7</v>
      </c>
      <c r="E488" s="54">
        <v>110</v>
      </c>
      <c r="F488" s="55">
        <f>+Table410141817283032363889[[#This Row],[PRECIO UNITARIO ESTIMADO]]*Table410141817283032363889[[#This Row],[CANTIDAD TOTAL ESTIMADA]]</f>
        <v>770</v>
      </c>
    </row>
    <row r="489" spans="1:6" x14ac:dyDescent="0.25">
      <c r="A489" s="46">
        <v>44121635</v>
      </c>
      <c r="B489" s="58" t="s">
        <v>149</v>
      </c>
      <c r="C489" s="52" t="s">
        <v>68</v>
      </c>
      <c r="D489" s="59">
        <v>7</v>
      </c>
      <c r="E489" s="54">
        <v>200</v>
      </c>
      <c r="F489" s="55">
        <f>+Table410141817283032363889[[#This Row],[PRECIO UNITARIO ESTIMADO]]*Table410141817283032363889[[#This Row],[CANTIDAD TOTAL ESTIMADA]]</f>
        <v>1400</v>
      </c>
    </row>
    <row r="490" spans="1:6" x14ac:dyDescent="0.25">
      <c r="A490" s="46" t="s">
        <v>150</v>
      </c>
      <c r="B490" s="58" t="s">
        <v>151</v>
      </c>
      <c r="C490" s="52" t="s">
        <v>68</v>
      </c>
      <c r="D490" s="3">
        <v>10</v>
      </c>
      <c r="E490" s="54">
        <v>40</v>
      </c>
      <c r="F490" s="55">
        <f>+Table410141817283032363889[[#This Row],[PRECIO UNITARIO ESTIMADO]]*Table410141817283032363889[[#This Row],[CANTIDAD TOTAL ESTIMADA]]</f>
        <v>400</v>
      </c>
    </row>
    <row r="491" spans="1:6" x14ac:dyDescent="0.25">
      <c r="A491" s="60" t="s">
        <v>152</v>
      </c>
      <c r="B491" s="58" t="s">
        <v>153</v>
      </c>
      <c r="C491" s="52" t="s">
        <v>99</v>
      </c>
      <c r="D491" s="59">
        <v>10</v>
      </c>
      <c r="E491" s="54">
        <v>75</v>
      </c>
      <c r="F491" s="55">
        <f>+Table410141817283032363889[[#This Row],[PRECIO UNITARIO ESTIMADO]]*Table410141817283032363889[[#This Row],[CANTIDAD TOTAL ESTIMADA]]</f>
        <v>750</v>
      </c>
    </row>
    <row r="492" spans="1:6" s="110" customFormat="1" x14ac:dyDescent="0.25">
      <c r="A492" s="122">
        <v>44101602</v>
      </c>
      <c r="B492" s="99" t="s">
        <v>154</v>
      </c>
      <c r="C492" s="104" t="s">
        <v>68</v>
      </c>
      <c r="D492" s="3">
        <v>2</v>
      </c>
      <c r="E492" s="121">
        <v>450</v>
      </c>
      <c r="F492" s="57">
        <f>+Table410141817283032363889[[#This Row],[PRECIO UNITARIO ESTIMADO]]*Table410141817283032363889[[#This Row],[CANTIDAD TOTAL ESTIMADA]]</f>
        <v>900</v>
      </c>
    </row>
    <row r="493" spans="1:6" x14ac:dyDescent="0.25">
      <c r="A493" s="60">
        <v>44121701</v>
      </c>
      <c r="B493" s="58" t="s">
        <v>155</v>
      </c>
      <c r="C493" s="52" t="s">
        <v>99</v>
      </c>
      <c r="D493" s="3">
        <v>10</v>
      </c>
      <c r="E493" s="54">
        <v>250</v>
      </c>
      <c r="F493" s="55">
        <f>+Table410141817283032363889[[#This Row],[PRECIO UNITARIO ESTIMADO]]*Table410141817283032363889[[#This Row],[CANTIDAD TOTAL ESTIMADA]]</f>
        <v>2500</v>
      </c>
    </row>
    <row r="494" spans="1:6" x14ac:dyDescent="0.25">
      <c r="A494" s="60">
        <v>44121701</v>
      </c>
      <c r="B494" s="58" t="s">
        <v>156</v>
      </c>
      <c r="C494" s="52" t="s">
        <v>99</v>
      </c>
      <c r="D494" s="3">
        <v>10</v>
      </c>
      <c r="E494" s="54">
        <v>250</v>
      </c>
      <c r="F494" s="55">
        <f>+Table410141817283032363889[[#This Row],[PRECIO UNITARIO ESTIMADO]]*Table410141817283032363889[[#This Row],[CANTIDAD TOTAL ESTIMADA]]</f>
        <v>2500</v>
      </c>
    </row>
    <row r="495" spans="1:6" x14ac:dyDescent="0.25">
      <c r="A495" s="60">
        <v>44121802</v>
      </c>
      <c r="B495" s="58" t="s">
        <v>157</v>
      </c>
      <c r="C495" s="52" t="s">
        <v>68</v>
      </c>
      <c r="D495" s="3">
        <v>5</v>
      </c>
      <c r="E495" s="54">
        <v>85</v>
      </c>
      <c r="F495" s="55">
        <f>+Table410141817283032363889[[#This Row],[PRECIO UNITARIO ESTIMADO]]*Table410141817283032363889[[#This Row],[CANTIDAD TOTAL ESTIMADA]]</f>
        <v>425</v>
      </c>
    </row>
    <row r="496" spans="1:6" x14ac:dyDescent="0.25">
      <c r="A496" s="46"/>
      <c r="B496" s="58"/>
      <c r="C496" s="52"/>
      <c r="D496" s="59"/>
      <c r="E496" s="54"/>
      <c r="F496" s="55">
        <f>+Table410141817283032363889[[#This Row],[PRECIO UNITARIO ESTIMADO]]*Table410141817283032363889[[#This Row],[CANTIDAD TOTAL ESTIMADA]]</f>
        <v>0</v>
      </c>
    </row>
    <row r="497" spans="1:6" x14ac:dyDescent="0.25">
      <c r="A497" s="46"/>
      <c r="B497" s="61"/>
      <c r="C497" s="52"/>
      <c r="D497" s="62"/>
      <c r="E497" s="54"/>
      <c r="F497" s="55">
        <f>+Table410141817283032363889[[#This Row],[PRECIO UNITARIO ESTIMADO]]*Table410141817283032363889[[#This Row],[CANTIDAD TOTAL ESTIMADA]]</f>
        <v>0</v>
      </c>
    </row>
    <row r="498" spans="1:6" ht="16.5" x14ac:dyDescent="0.25">
      <c r="A498" s="1"/>
      <c r="B498" s="1"/>
      <c r="C498" s="1"/>
      <c r="D498" s="1"/>
      <c r="E498" s="49" t="s">
        <v>40</v>
      </c>
      <c r="F498" s="50">
        <f>SUBTOTAL(109,Table410141817283032363889[MONTO TOTAL ESTIMADO])</f>
        <v>64345</v>
      </c>
    </row>
    <row r="501" spans="1:6" ht="15.75" thickBot="1" x14ac:dyDescent="0.3"/>
    <row r="502" spans="1:6" ht="45.75" thickBot="1" x14ac:dyDescent="0.3">
      <c r="A502" s="37" t="s">
        <v>41</v>
      </c>
      <c r="B502" s="37" t="s">
        <v>42</v>
      </c>
      <c r="C502" s="37" t="s">
        <v>43</v>
      </c>
      <c r="D502" s="37" t="s">
        <v>44</v>
      </c>
      <c r="E502" s="37" t="s">
        <v>45</v>
      </c>
      <c r="F502" s="37" t="s">
        <v>46</v>
      </c>
    </row>
    <row r="503" spans="1:6" ht="58.5" thickBot="1" x14ac:dyDescent="0.3">
      <c r="A503" s="32" t="s">
        <v>160</v>
      </c>
      <c r="B503" s="43" t="s">
        <v>91</v>
      </c>
      <c r="C503" s="33" t="s">
        <v>92</v>
      </c>
      <c r="D503" s="32" t="s">
        <v>50</v>
      </c>
      <c r="E503" s="33" t="s">
        <v>51</v>
      </c>
      <c r="F503" s="33"/>
    </row>
    <row r="504" spans="1:6" ht="15.75" thickBot="1" x14ac:dyDescent="0.3">
      <c r="A504" s="126" t="s">
        <v>16</v>
      </c>
      <c r="B504" s="20" t="s">
        <v>17</v>
      </c>
      <c r="C504" s="21">
        <v>45209</v>
      </c>
      <c r="D504" s="126" t="s">
        <v>18</v>
      </c>
      <c r="E504" s="22" t="s">
        <v>19</v>
      </c>
      <c r="F504" s="23" t="s">
        <v>20</v>
      </c>
    </row>
    <row r="505" spans="1:6" ht="15.75" thickBot="1" x14ac:dyDescent="0.3">
      <c r="A505" s="127"/>
      <c r="B505" s="20" t="s">
        <v>21</v>
      </c>
      <c r="C505" s="20">
        <v>3</v>
      </c>
      <c r="D505" s="127"/>
      <c r="E505" s="22" t="s">
        <v>22</v>
      </c>
      <c r="F505" s="23" t="s">
        <v>23</v>
      </c>
    </row>
    <row r="506" spans="1:6" ht="15.75" thickBot="1" x14ac:dyDescent="0.3">
      <c r="A506" s="127"/>
      <c r="B506" s="20" t="s">
        <v>24</v>
      </c>
      <c r="C506" s="21">
        <v>45214</v>
      </c>
      <c r="D506" s="127"/>
      <c r="E506" s="22" t="s">
        <v>25</v>
      </c>
      <c r="F506" s="23"/>
    </row>
    <row r="507" spans="1:6" ht="15.75" thickBot="1" x14ac:dyDescent="0.3">
      <c r="A507" s="127"/>
      <c r="B507" s="20" t="s">
        <v>21</v>
      </c>
      <c r="C507" s="20">
        <v>3</v>
      </c>
      <c r="D507" s="127"/>
      <c r="E507" s="22" t="s">
        <v>26</v>
      </c>
      <c r="F507" s="23"/>
    </row>
    <row r="508" spans="1:6" ht="17.25" thickBot="1" x14ac:dyDescent="0.3">
      <c r="A508" s="1"/>
      <c r="B508" s="1"/>
      <c r="C508" s="1"/>
      <c r="D508" s="1"/>
      <c r="E508" s="1"/>
      <c r="F508" s="1"/>
    </row>
    <row r="509" spans="1:6" x14ac:dyDescent="0.25">
      <c r="A509" s="45" t="s">
        <v>27</v>
      </c>
      <c r="B509" s="45" t="s">
        <v>28</v>
      </c>
      <c r="C509" s="45" t="s">
        <v>29</v>
      </c>
      <c r="D509" s="45" t="s">
        <v>30</v>
      </c>
      <c r="E509" s="45" t="s">
        <v>31</v>
      </c>
      <c r="F509" s="45" t="s">
        <v>32</v>
      </c>
    </row>
    <row r="510" spans="1:6" x14ac:dyDescent="0.25">
      <c r="A510" s="46">
        <v>14111507</v>
      </c>
      <c r="B510" s="58" t="s">
        <v>133</v>
      </c>
      <c r="C510" s="26" t="s">
        <v>134</v>
      </c>
      <c r="D510" s="25">
        <v>50</v>
      </c>
      <c r="E510" s="27">
        <v>400</v>
      </c>
      <c r="F510" s="28">
        <f>+Table41014181728303236384090[[#This Row],[PRECIO UNITARIO ESTIMADO]]*Table41014181728303236384090[[#This Row],[CANTIDAD TOTAL ESTIMADA]]</f>
        <v>20000</v>
      </c>
    </row>
    <row r="511" spans="1:6" x14ac:dyDescent="0.25">
      <c r="A511" s="46">
        <v>14111507</v>
      </c>
      <c r="B511" s="58" t="s">
        <v>135</v>
      </c>
      <c r="C511" s="26" t="s">
        <v>134</v>
      </c>
      <c r="D511" s="2">
        <v>10</v>
      </c>
      <c r="E511" s="27">
        <v>600</v>
      </c>
      <c r="F511" s="28">
        <f>+Table41014181728303236384090[[#This Row],[PRECIO UNITARIO ESTIMADO]]*Table41014181728303236384090[[#This Row],[CANTIDAD TOTAL ESTIMADA]]</f>
        <v>6000</v>
      </c>
    </row>
    <row r="512" spans="1:6" x14ac:dyDescent="0.25">
      <c r="A512" s="46">
        <v>14111530</v>
      </c>
      <c r="B512" s="58" t="s">
        <v>136</v>
      </c>
      <c r="C512" s="26" t="s">
        <v>68</v>
      </c>
      <c r="D512" s="25">
        <v>10</v>
      </c>
      <c r="E512" s="27">
        <v>125</v>
      </c>
      <c r="F512" s="28">
        <f>+Table41014181728303236384090[[#This Row],[PRECIO UNITARIO ESTIMADO]]*Table41014181728303236384090[[#This Row],[CANTIDAD TOTAL ESTIMADA]]</f>
        <v>1250</v>
      </c>
    </row>
    <row r="513" spans="1:6" x14ac:dyDescent="0.25">
      <c r="A513" s="46">
        <v>44121716</v>
      </c>
      <c r="B513" s="58" t="s">
        <v>137</v>
      </c>
      <c r="C513" s="26" t="s">
        <v>68</v>
      </c>
      <c r="D513" s="25">
        <v>20</v>
      </c>
      <c r="E513" s="27">
        <v>25</v>
      </c>
      <c r="F513" s="28">
        <f>+Table41014181728303236384090[[#This Row],[PRECIO UNITARIO ESTIMADO]]*Table41014181728303236384090[[#This Row],[CANTIDAD TOTAL ESTIMADA]]</f>
        <v>500</v>
      </c>
    </row>
    <row r="514" spans="1:6" x14ac:dyDescent="0.25">
      <c r="A514" s="46">
        <v>44122010</v>
      </c>
      <c r="B514" s="58" t="s">
        <v>138</v>
      </c>
      <c r="C514" s="52" t="s">
        <v>94</v>
      </c>
      <c r="D514" s="53">
        <v>20</v>
      </c>
      <c r="E514" s="54">
        <v>120</v>
      </c>
      <c r="F514" s="55">
        <f>+Table41014181728303236384090[[#This Row],[PRECIO UNITARIO ESTIMADO]]*Table41014181728303236384090[[#This Row],[CANTIDAD TOTAL ESTIMADA]]</f>
        <v>2400</v>
      </c>
    </row>
    <row r="515" spans="1:6" x14ac:dyDescent="0.25">
      <c r="A515" s="46">
        <v>43211708</v>
      </c>
      <c r="B515" s="58" t="s">
        <v>139</v>
      </c>
      <c r="C515" s="52" t="s">
        <v>94</v>
      </c>
      <c r="D515" s="53">
        <v>10</v>
      </c>
      <c r="E515" s="54">
        <v>300</v>
      </c>
      <c r="F515" s="55">
        <f>+Table41014181728303236384090[[#This Row],[PRECIO UNITARIO ESTIMADO]]*Table41014181728303236384090[[#This Row],[CANTIDAD TOTAL ESTIMADA]]</f>
        <v>3000</v>
      </c>
    </row>
    <row r="516" spans="1:6" x14ac:dyDescent="0.25">
      <c r="A516" s="46">
        <v>44122018</v>
      </c>
      <c r="B516" s="58" t="s">
        <v>140</v>
      </c>
      <c r="C516" s="52" t="s">
        <v>94</v>
      </c>
      <c r="D516" s="53">
        <v>10</v>
      </c>
      <c r="E516" s="54">
        <v>875</v>
      </c>
      <c r="F516" s="55">
        <f>+Table41014181728303236384090[[#This Row],[PRECIO UNITARIO ESTIMADO]]*Table41014181728303236384090[[#This Row],[CANTIDAD TOTAL ESTIMADA]]</f>
        <v>8750</v>
      </c>
    </row>
    <row r="517" spans="1:6" x14ac:dyDescent="0.25">
      <c r="A517" s="46">
        <v>31201512</v>
      </c>
      <c r="B517" s="58" t="s">
        <v>141</v>
      </c>
      <c r="C517" s="52" t="s">
        <v>68</v>
      </c>
      <c r="D517" s="59">
        <v>10</v>
      </c>
      <c r="E517" s="54">
        <v>160</v>
      </c>
      <c r="F517" s="55">
        <f>+Table41014181728303236384090[[#This Row],[PRECIO UNITARIO ESTIMADO]]*Table41014181728303236384090[[#This Row],[CANTIDAD TOTAL ESTIMADA]]</f>
        <v>1600</v>
      </c>
    </row>
    <row r="518" spans="1:6" x14ac:dyDescent="0.25">
      <c r="A518" s="46">
        <v>44111503</v>
      </c>
      <c r="B518" s="58" t="s">
        <v>142</v>
      </c>
      <c r="C518" s="52" t="s">
        <v>68</v>
      </c>
      <c r="D518" s="59">
        <v>10</v>
      </c>
      <c r="E518" s="54">
        <v>350</v>
      </c>
      <c r="F518" s="55">
        <f>+Table41014181728303236384090[[#This Row],[PRECIO UNITARIO ESTIMADO]]*Table41014181728303236384090[[#This Row],[CANTIDAD TOTAL ESTIMADA]]</f>
        <v>3500</v>
      </c>
    </row>
    <row r="519" spans="1:6" x14ac:dyDescent="0.25">
      <c r="A519" s="46">
        <v>44122002</v>
      </c>
      <c r="B519" s="58" t="s">
        <v>143</v>
      </c>
      <c r="C519" s="52" t="s">
        <v>94</v>
      </c>
      <c r="D519" s="59">
        <v>10</v>
      </c>
      <c r="E519" s="54">
        <v>300</v>
      </c>
      <c r="F519" s="55">
        <f>+Table41014181728303236384090[[#This Row],[PRECIO UNITARIO ESTIMADO]]*Table41014181728303236384090[[#This Row],[CANTIDAD TOTAL ESTIMADA]]</f>
        <v>3000</v>
      </c>
    </row>
    <row r="520" spans="1:6" x14ac:dyDescent="0.25">
      <c r="A520" s="46">
        <v>44122104</v>
      </c>
      <c r="B520" s="58" t="s">
        <v>144</v>
      </c>
      <c r="C520" s="52" t="s">
        <v>99</v>
      </c>
      <c r="D520" s="59">
        <v>10</v>
      </c>
      <c r="E520" s="54">
        <v>70</v>
      </c>
      <c r="F520" s="55">
        <f>+Table41014181728303236384090[[#This Row],[PRECIO UNITARIO ESTIMADO]]*Table41014181728303236384090[[#This Row],[CANTIDAD TOTAL ESTIMADA]]</f>
        <v>700</v>
      </c>
    </row>
    <row r="521" spans="1:6" x14ac:dyDescent="0.25">
      <c r="A521" s="46">
        <v>14111515</v>
      </c>
      <c r="B521" s="58" t="s">
        <v>145</v>
      </c>
      <c r="C521" s="52" t="s">
        <v>68</v>
      </c>
      <c r="D521" s="59">
        <v>10</v>
      </c>
      <c r="E521" s="54">
        <v>130</v>
      </c>
      <c r="F521" s="55">
        <f>+Table41014181728303236384090[[#This Row],[PRECIO UNITARIO ESTIMADO]]*Table41014181728303236384090[[#This Row],[CANTIDAD TOTAL ESTIMADA]]</f>
        <v>1300</v>
      </c>
    </row>
    <row r="522" spans="1:6" x14ac:dyDescent="0.25">
      <c r="A522" s="46">
        <v>44121615</v>
      </c>
      <c r="B522" s="58" t="s">
        <v>146</v>
      </c>
      <c r="C522" s="52" t="s">
        <v>68</v>
      </c>
      <c r="D522" s="59">
        <v>10</v>
      </c>
      <c r="E522" s="54">
        <v>250</v>
      </c>
      <c r="F522" s="55">
        <f>+Table41014181728303236384090[[#This Row],[PRECIO UNITARIO ESTIMADO]]*Table41014181728303236384090[[#This Row],[CANTIDAD TOTAL ESTIMADA]]</f>
        <v>2500</v>
      </c>
    </row>
    <row r="523" spans="1:6" x14ac:dyDescent="0.25">
      <c r="A523" s="46">
        <v>44121618</v>
      </c>
      <c r="B523" s="58" t="s">
        <v>147</v>
      </c>
      <c r="C523" s="52" t="s">
        <v>68</v>
      </c>
      <c r="D523" s="59">
        <v>2</v>
      </c>
      <c r="E523" s="54">
        <v>100</v>
      </c>
      <c r="F523" s="55">
        <f>+Table41014181728303236384090[[#This Row],[PRECIO UNITARIO ESTIMADO]]*Table41014181728303236384090[[#This Row],[CANTIDAD TOTAL ESTIMADA]]</f>
        <v>200</v>
      </c>
    </row>
    <row r="524" spans="1:6" x14ac:dyDescent="0.25">
      <c r="A524" s="46">
        <v>44111509</v>
      </c>
      <c r="B524" s="58" t="s">
        <v>148</v>
      </c>
      <c r="C524" s="52" t="s">
        <v>68</v>
      </c>
      <c r="D524" s="59">
        <v>7</v>
      </c>
      <c r="E524" s="54">
        <v>110</v>
      </c>
      <c r="F524" s="55">
        <f>+Table41014181728303236384090[[#This Row],[PRECIO UNITARIO ESTIMADO]]*Table41014181728303236384090[[#This Row],[CANTIDAD TOTAL ESTIMADA]]</f>
        <v>770</v>
      </c>
    </row>
    <row r="525" spans="1:6" x14ac:dyDescent="0.25">
      <c r="A525" s="46">
        <v>44121635</v>
      </c>
      <c r="B525" s="58" t="s">
        <v>149</v>
      </c>
      <c r="C525" s="52" t="s">
        <v>68</v>
      </c>
      <c r="D525" s="59">
        <v>7</v>
      </c>
      <c r="E525" s="54">
        <v>200</v>
      </c>
      <c r="F525" s="55">
        <f>+Table41014181728303236384090[[#This Row],[PRECIO UNITARIO ESTIMADO]]*Table41014181728303236384090[[#This Row],[CANTIDAD TOTAL ESTIMADA]]</f>
        <v>1400</v>
      </c>
    </row>
    <row r="526" spans="1:6" x14ac:dyDescent="0.25">
      <c r="A526" s="46" t="s">
        <v>150</v>
      </c>
      <c r="B526" s="58" t="s">
        <v>151</v>
      </c>
      <c r="C526" s="52" t="s">
        <v>68</v>
      </c>
      <c r="D526" s="62">
        <v>10</v>
      </c>
      <c r="E526" s="54">
        <v>40</v>
      </c>
      <c r="F526" s="55">
        <f>+Table41014181728303236384090[[#This Row],[PRECIO UNITARIO ESTIMADO]]*Table41014181728303236384090[[#This Row],[CANTIDAD TOTAL ESTIMADA]]</f>
        <v>400</v>
      </c>
    </row>
    <row r="527" spans="1:6" x14ac:dyDescent="0.25">
      <c r="A527" s="60" t="s">
        <v>152</v>
      </c>
      <c r="B527" s="58" t="s">
        <v>153</v>
      </c>
      <c r="C527" s="52" t="s">
        <v>99</v>
      </c>
      <c r="D527" s="59">
        <v>10</v>
      </c>
      <c r="E527" s="54">
        <v>75</v>
      </c>
      <c r="F527" s="55">
        <f>+Table41014181728303236384090[[#This Row],[PRECIO UNITARIO ESTIMADO]]*Table41014181728303236384090[[#This Row],[CANTIDAD TOTAL ESTIMADA]]</f>
        <v>750</v>
      </c>
    </row>
    <row r="528" spans="1:6" x14ac:dyDescent="0.25">
      <c r="A528" s="60">
        <v>44101602</v>
      </c>
      <c r="B528" s="58" t="s">
        <v>154</v>
      </c>
      <c r="C528" s="52" t="s">
        <v>68</v>
      </c>
      <c r="D528" s="3">
        <v>0</v>
      </c>
      <c r="E528" s="54">
        <v>450</v>
      </c>
      <c r="F528" s="55">
        <f>+Table41014181728303236384090[[#This Row],[PRECIO UNITARIO ESTIMADO]]*Table41014181728303236384090[[#This Row],[CANTIDAD TOTAL ESTIMADA]]</f>
        <v>0</v>
      </c>
    </row>
    <row r="529" spans="1:6" x14ac:dyDescent="0.25">
      <c r="A529" s="60">
        <v>44121701</v>
      </c>
      <c r="B529" s="58" t="s">
        <v>155</v>
      </c>
      <c r="C529" s="52" t="s">
        <v>99</v>
      </c>
      <c r="D529" s="3">
        <v>10</v>
      </c>
      <c r="E529" s="54">
        <v>250</v>
      </c>
      <c r="F529" s="55">
        <f>+Table41014181728303236384090[[#This Row],[PRECIO UNITARIO ESTIMADO]]*Table41014181728303236384090[[#This Row],[CANTIDAD TOTAL ESTIMADA]]</f>
        <v>2500</v>
      </c>
    </row>
    <row r="530" spans="1:6" x14ac:dyDescent="0.25">
      <c r="A530" s="60">
        <v>44121701</v>
      </c>
      <c r="B530" s="58" t="s">
        <v>156</v>
      </c>
      <c r="C530" s="52" t="s">
        <v>99</v>
      </c>
      <c r="D530" s="3">
        <v>10</v>
      </c>
      <c r="E530" s="54">
        <v>250</v>
      </c>
      <c r="F530" s="55">
        <f>+Table41014181728303236384090[[#This Row],[PRECIO UNITARIO ESTIMADO]]*Table41014181728303236384090[[#This Row],[CANTIDAD TOTAL ESTIMADA]]</f>
        <v>2500</v>
      </c>
    </row>
    <row r="531" spans="1:6" s="110" customFormat="1" x14ac:dyDescent="0.25">
      <c r="A531" s="122">
        <v>44121802</v>
      </c>
      <c r="B531" s="99" t="s">
        <v>157</v>
      </c>
      <c r="C531" s="104" t="s">
        <v>68</v>
      </c>
      <c r="D531" s="3">
        <v>5</v>
      </c>
      <c r="E531" s="121">
        <v>85</v>
      </c>
      <c r="F531" s="57">
        <f>+Table41014181728303236384090[[#This Row],[PRECIO UNITARIO ESTIMADO]]*Table41014181728303236384090[[#This Row],[CANTIDAD TOTAL ESTIMADA]]</f>
        <v>425</v>
      </c>
    </row>
    <row r="532" spans="1:6" x14ac:dyDescent="0.25">
      <c r="A532" s="46"/>
      <c r="B532" s="58"/>
      <c r="C532" s="52"/>
      <c r="D532" s="59"/>
      <c r="E532" s="54"/>
      <c r="F532" s="55">
        <f>+Table41014181728303236384090[[#This Row],[PRECIO UNITARIO ESTIMADO]]*Table41014181728303236384090[[#This Row],[CANTIDAD TOTAL ESTIMADA]]</f>
        <v>0</v>
      </c>
    </row>
    <row r="533" spans="1:6" x14ac:dyDescent="0.25">
      <c r="A533" s="46"/>
      <c r="B533" s="61"/>
      <c r="C533" s="52"/>
      <c r="D533" s="62"/>
      <c r="E533" s="54"/>
      <c r="F533" s="55">
        <f>+Table41014181728303236384090[[#This Row],[PRECIO UNITARIO ESTIMADO]]*Table41014181728303236384090[[#This Row],[CANTIDAD TOTAL ESTIMADA]]</f>
        <v>0</v>
      </c>
    </row>
    <row r="534" spans="1:6" ht="16.5" x14ac:dyDescent="0.25">
      <c r="A534" s="1"/>
      <c r="B534" s="1"/>
      <c r="C534" s="1"/>
      <c r="D534" s="1"/>
      <c r="E534" s="49" t="s">
        <v>40</v>
      </c>
      <c r="F534" s="50">
        <f>SUBTOTAL(109,Table41014181728303236384090[MONTO TOTAL ESTIMADO])</f>
        <v>63445</v>
      </c>
    </row>
    <row r="536" spans="1:6" ht="15.75" thickBot="1" x14ac:dyDescent="0.3"/>
    <row r="537" spans="1:6" ht="45.75" thickBot="1" x14ac:dyDescent="0.3">
      <c r="A537" s="37" t="s">
        <v>41</v>
      </c>
      <c r="B537" s="37" t="s">
        <v>42</v>
      </c>
      <c r="C537" s="37" t="s">
        <v>43</v>
      </c>
      <c r="D537" s="37" t="s">
        <v>44</v>
      </c>
      <c r="E537" s="37" t="s">
        <v>45</v>
      </c>
      <c r="F537" s="37" t="s">
        <v>46</v>
      </c>
    </row>
    <row r="538" spans="1:6" ht="58.5" thickBot="1" x14ac:dyDescent="0.3">
      <c r="A538" s="32" t="s">
        <v>161</v>
      </c>
      <c r="B538" s="43" t="s">
        <v>91</v>
      </c>
      <c r="C538" s="33" t="s">
        <v>92</v>
      </c>
      <c r="D538" s="32" t="s">
        <v>162</v>
      </c>
      <c r="E538" s="33" t="s">
        <v>51</v>
      </c>
      <c r="F538" s="33"/>
    </row>
    <row r="539" spans="1:6" ht="15.75" thickBot="1" x14ac:dyDescent="0.3">
      <c r="A539" s="126" t="s">
        <v>16</v>
      </c>
      <c r="B539" s="20" t="s">
        <v>17</v>
      </c>
      <c r="C539" s="21">
        <v>44967</v>
      </c>
      <c r="D539" s="126" t="s">
        <v>18</v>
      </c>
      <c r="E539" s="22" t="s">
        <v>19</v>
      </c>
      <c r="F539" s="23" t="s">
        <v>20</v>
      </c>
    </row>
    <row r="540" spans="1:6" ht="15.75" thickBot="1" x14ac:dyDescent="0.3">
      <c r="A540" s="127"/>
      <c r="B540" s="20" t="s">
        <v>21</v>
      </c>
      <c r="C540" s="20">
        <v>1</v>
      </c>
      <c r="D540" s="127"/>
      <c r="E540" s="22" t="s">
        <v>22</v>
      </c>
      <c r="F540" s="23" t="s">
        <v>23</v>
      </c>
    </row>
    <row r="541" spans="1:6" ht="15.75" thickBot="1" x14ac:dyDescent="0.3">
      <c r="A541" s="127"/>
      <c r="B541" s="20" t="s">
        <v>24</v>
      </c>
      <c r="C541" s="21">
        <v>44972</v>
      </c>
      <c r="D541" s="127"/>
      <c r="E541" s="22" t="s">
        <v>25</v>
      </c>
      <c r="F541" s="23"/>
    </row>
    <row r="542" spans="1:6" ht="15.75" thickBot="1" x14ac:dyDescent="0.3">
      <c r="A542" s="127"/>
      <c r="B542" s="20" t="s">
        <v>21</v>
      </c>
      <c r="C542" s="20">
        <v>1</v>
      </c>
      <c r="D542" s="127"/>
      <c r="E542" s="22" t="s">
        <v>26</v>
      </c>
      <c r="F542" s="23"/>
    </row>
    <row r="543" spans="1:6" ht="17.25" thickBot="1" x14ac:dyDescent="0.3">
      <c r="A543" s="1"/>
      <c r="B543" s="1"/>
      <c r="C543" s="1"/>
      <c r="D543" s="1"/>
      <c r="E543" s="1"/>
      <c r="F543" s="1"/>
    </row>
    <row r="544" spans="1:6" x14ac:dyDescent="0.25">
      <c r="A544" s="45" t="s">
        <v>27</v>
      </c>
      <c r="B544" s="45" t="s">
        <v>28</v>
      </c>
      <c r="C544" s="45" t="s">
        <v>29</v>
      </c>
      <c r="D544" s="45" t="s">
        <v>30</v>
      </c>
      <c r="E544" s="45" t="s">
        <v>31</v>
      </c>
      <c r="F544" s="45" t="s">
        <v>32</v>
      </c>
    </row>
    <row r="545" spans="1:6" x14ac:dyDescent="0.25">
      <c r="A545" s="46">
        <v>44103105</v>
      </c>
      <c r="B545" s="58" t="s">
        <v>163</v>
      </c>
      <c r="C545" s="26" t="s">
        <v>68</v>
      </c>
      <c r="D545" s="25">
        <v>6</v>
      </c>
      <c r="E545" s="27">
        <v>8000</v>
      </c>
      <c r="F545" s="28">
        <f>E545*D545</f>
        <v>48000</v>
      </c>
    </row>
    <row r="546" spans="1:6" x14ac:dyDescent="0.25">
      <c r="A546" s="46">
        <v>44103105</v>
      </c>
      <c r="B546" s="58" t="s">
        <v>164</v>
      </c>
      <c r="C546" s="26" t="s">
        <v>68</v>
      </c>
      <c r="D546" s="2">
        <v>6</v>
      </c>
      <c r="E546" s="27">
        <v>6500</v>
      </c>
      <c r="F546" s="28">
        <f t="shared" ref="F546:F563" si="2">E546*D546</f>
        <v>39000</v>
      </c>
    </row>
    <row r="547" spans="1:6" x14ac:dyDescent="0.25">
      <c r="A547" s="46">
        <v>44103105</v>
      </c>
      <c r="B547" s="58" t="s">
        <v>165</v>
      </c>
      <c r="C547" s="26" t="s">
        <v>68</v>
      </c>
      <c r="D547" s="25">
        <v>6</v>
      </c>
      <c r="E547" s="27">
        <v>6500</v>
      </c>
      <c r="F547" s="28">
        <f t="shared" si="2"/>
        <v>39000</v>
      </c>
    </row>
    <row r="548" spans="1:6" x14ac:dyDescent="0.25">
      <c r="A548" s="46">
        <v>44103105</v>
      </c>
      <c r="B548" s="58" t="s">
        <v>166</v>
      </c>
      <c r="C548" s="26" t="s">
        <v>68</v>
      </c>
      <c r="D548" s="25">
        <v>6</v>
      </c>
      <c r="E548" s="27">
        <v>6500</v>
      </c>
      <c r="F548" s="28">
        <f t="shared" si="2"/>
        <v>39000</v>
      </c>
    </row>
    <row r="549" spans="1:6" x14ac:dyDescent="0.25">
      <c r="A549" s="46">
        <v>44103105</v>
      </c>
      <c r="B549" s="58" t="s">
        <v>167</v>
      </c>
      <c r="C549" s="26" t="s">
        <v>68</v>
      </c>
      <c r="D549" s="53">
        <v>6</v>
      </c>
      <c r="E549" s="54">
        <v>5000</v>
      </c>
      <c r="F549" s="28">
        <f t="shared" si="2"/>
        <v>30000</v>
      </c>
    </row>
    <row r="550" spans="1:6" x14ac:dyDescent="0.25">
      <c r="A550" s="46">
        <v>44103105</v>
      </c>
      <c r="B550" s="58" t="s">
        <v>168</v>
      </c>
      <c r="C550" s="26" t="s">
        <v>68</v>
      </c>
      <c r="D550" s="53">
        <v>6</v>
      </c>
      <c r="E550" s="54">
        <v>4500</v>
      </c>
      <c r="F550" s="28">
        <f t="shared" si="2"/>
        <v>27000</v>
      </c>
    </row>
    <row r="551" spans="1:6" x14ac:dyDescent="0.25">
      <c r="A551" s="46">
        <v>44103105</v>
      </c>
      <c r="B551" s="58" t="s">
        <v>169</v>
      </c>
      <c r="C551" s="26" t="s">
        <v>68</v>
      </c>
      <c r="D551" s="53">
        <v>6</v>
      </c>
      <c r="E551" s="54">
        <v>4500</v>
      </c>
      <c r="F551" s="28">
        <f t="shared" si="2"/>
        <v>27000</v>
      </c>
    </row>
    <row r="552" spans="1:6" x14ac:dyDescent="0.25">
      <c r="A552" s="46">
        <v>44103105</v>
      </c>
      <c r="B552" s="58" t="s">
        <v>170</v>
      </c>
      <c r="C552" s="26" t="s">
        <v>68</v>
      </c>
      <c r="D552" s="59">
        <v>6</v>
      </c>
      <c r="E552" s="54">
        <v>4500</v>
      </c>
      <c r="F552" s="28">
        <f t="shared" si="2"/>
        <v>27000</v>
      </c>
    </row>
    <row r="553" spans="1:6" x14ac:dyDescent="0.25">
      <c r="A553" s="46">
        <v>44103105</v>
      </c>
      <c r="B553" s="58" t="s">
        <v>171</v>
      </c>
      <c r="C553" s="26" t="s">
        <v>68</v>
      </c>
      <c r="D553" s="59">
        <v>6</v>
      </c>
      <c r="E553" s="54">
        <v>6500</v>
      </c>
      <c r="F553" s="28">
        <f t="shared" si="2"/>
        <v>39000</v>
      </c>
    </row>
    <row r="554" spans="1:6" x14ac:dyDescent="0.25">
      <c r="A554" s="46">
        <v>44103105</v>
      </c>
      <c r="B554" s="58" t="s">
        <v>172</v>
      </c>
      <c r="C554" s="26" t="s">
        <v>68</v>
      </c>
      <c r="D554" s="59">
        <v>6</v>
      </c>
      <c r="E554" s="54">
        <v>6000</v>
      </c>
      <c r="F554" s="28">
        <f t="shared" si="2"/>
        <v>36000</v>
      </c>
    </row>
    <row r="555" spans="1:6" x14ac:dyDescent="0.25">
      <c r="A555" s="46">
        <v>44103105</v>
      </c>
      <c r="B555" s="58" t="s">
        <v>173</v>
      </c>
      <c r="C555" s="26" t="s">
        <v>68</v>
      </c>
      <c r="D555" s="59">
        <v>6</v>
      </c>
      <c r="E555" s="54">
        <v>6000</v>
      </c>
      <c r="F555" s="28">
        <f t="shared" si="2"/>
        <v>36000</v>
      </c>
    </row>
    <row r="556" spans="1:6" x14ac:dyDescent="0.25">
      <c r="A556" s="46">
        <v>44103105</v>
      </c>
      <c r="B556" s="58" t="s">
        <v>174</v>
      </c>
      <c r="C556" s="26" t="s">
        <v>68</v>
      </c>
      <c r="D556" s="59">
        <v>6</v>
      </c>
      <c r="E556" s="54">
        <v>6000</v>
      </c>
      <c r="F556" s="28">
        <f t="shared" si="2"/>
        <v>36000</v>
      </c>
    </row>
    <row r="557" spans="1:6" x14ac:dyDescent="0.25">
      <c r="A557" s="46">
        <v>44103105</v>
      </c>
      <c r="B557" s="58" t="s">
        <v>175</v>
      </c>
      <c r="C557" s="26" t="s">
        <v>68</v>
      </c>
      <c r="D557" s="59">
        <v>6</v>
      </c>
      <c r="E557" s="54">
        <v>6500</v>
      </c>
      <c r="F557" s="28">
        <f t="shared" si="2"/>
        <v>39000</v>
      </c>
    </row>
    <row r="558" spans="1:6" x14ac:dyDescent="0.25">
      <c r="A558" s="46">
        <v>44103105</v>
      </c>
      <c r="B558" s="58" t="s">
        <v>176</v>
      </c>
      <c r="C558" s="26" t="s">
        <v>68</v>
      </c>
      <c r="D558" s="59">
        <v>6</v>
      </c>
      <c r="E558" s="54">
        <v>6000</v>
      </c>
      <c r="F558" s="28">
        <f t="shared" si="2"/>
        <v>36000</v>
      </c>
    </row>
    <row r="559" spans="1:6" x14ac:dyDescent="0.25">
      <c r="A559" s="46">
        <v>44103105</v>
      </c>
      <c r="B559" s="58" t="s">
        <v>177</v>
      </c>
      <c r="C559" s="26" t="s">
        <v>68</v>
      </c>
      <c r="D559" s="59">
        <v>6</v>
      </c>
      <c r="E559" s="54">
        <v>6000</v>
      </c>
      <c r="F559" s="28">
        <f t="shared" si="2"/>
        <v>36000</v>
      </c>
    </row>
    <row r="560" spans="1:6" x14ac:dyDescent="0.25">
      <c r="A560" s="46">
        <v>44103105</v>
      </c>
      <c r="B560" s="58" t="s">
        <v>178</v>
      </c>
      <c r="C560" s="26" t="s">
        <v>68</v>
      </c>
      <c r="D560" s="59">
        <v>6</v>
      </c>
      <c r="E560" s="54">
        <v>6000</v>
      </c>
      <c r="F560" s="28">
        <f t="shared" si="2"/>
        <v>36000</v>
      </c>
    </row>
    <row r="561" spans="1:6" x14ac:dyDescent="0.25">
      <c r="A561" s="46">
        <v>44103120</v>
      </c>
      <c r="B561" s="58" t="s">
        <v>179</v>
      </c>
      <c r="C561" s="26" t="s">
        <v>68</v>
      </c>
      <c r="D561" s="3">
        <v>2</v>
      </c>
      <c r="E561" s="54">
        <v>4000</v>
      </c>
      <c r="F561" s="28">
        <f t="shared" si="2"/>
        <v>8000</v>
      </c>
    </row>
    <row r="562" spans="1:6" x14ac:dyDescent="0.25">
      <c r="A562" s="63">
        <v>44103120</v>
      </c>
      <c r="B562" s="58" t="s">
        <v>180</v>
      </c>
      <c r="C562" s="26" t="s">
        <v>68</v>
      </c>
      <c r="D562" s="3">
        <v>2</v>
      </c>
      <c r="E562" s="64">
        <v>3000</v>
      </c>
      <c r="F562" s="28">
        <f t="shared" si="2"/>
        <v>6000</v>
      </c>
    </row>
    <row r="563" spans="1:6" x14ac:dyDescent="0.25">
      <c r="A563" s="46"/>
      <c r="B563" s="61"/>
      <c r="C563" s="52"/>
      <c r="D563" s="62"/>
      <c r="E563" s="54"/>
      <c r="F563" s="28">
        <f t="shared" si="2"/>
        <v>0</v>
      </c>
    </row>
    <row r="564" spans="1:6" ht="16.5" x14ac:dyDescent="0.25">
      <c r="A564" s="1"/>
      <c r="B564" s="1"/>
      <c r="C564" s="1"/>
      <c r="D564" s="1"/>
      <c r="E564" s="49" t="s">
        <v>40</v>
      </c>
      <c r="F564" s="50">
        <f>SUM(F545:F562)</f>
        <v>584000</v>
      </c>
    </row>
    <row r="566" spans="1:6" ht="15.75" thickBot="1" x14ac:dyDescent="0.3"/>
    <row r="567" spans="1:6" ht="45.75" thickBot="1" x14ac:dyDescent="0.3">
      <c r="A567" s="37" t="s">
        <v>41</v>
      </c>
      <c r="B567" s="37" t="s">
        <v>42</v>
      </c>
      <c r="C567" s="37" t="s">
        <v>43</v>
      </c>
      <c r="D567" s="37" t="s">
        <v>44</v>
      </c>
      <c r="E567" s="37" t="s">
        <v>45</v>
      </c>
      <c r="F567" s="37" t="s">
        <v>46</v>
      </c>
    </row>
    <row r="568" spans="1:6" ht="58.5" thickBot="1" x14ac:dyDescent="0.3">
      <c r="A568" s="32" t="s">
        <v>181</v>
      </c>
      <c r="B568" s="43" t="s">
        <v>91</v>
      </c>
      <c r="C568" s="33" t="s">
        <v>92</v>
      </c>
      <c r="D568" s="32" t="s">
        <v>162</v>
      </c>
      <c r="E568" s="33" t="s">
        <v>51</v>
      </c>
      <c r="F568" s="33"/>
    </row>
    <row r="569" spans="1:6" ht="15.75" thickBot="1" x14ac:dyDescent="0.3">
      <c r="A569" s="126" t="s">
        <v>16</v>
      </c>
      <c r="B569" s="20" t="s">
        <v>17</v>
      </c>
      <c r="C569" s="21">
        <v>44967</v>
      </c>
      <c r="D569" s="126" t="s">
        <v>18</v>
      </c>
      <c r="E569" s="22" t="s">
        <v>19</v>
      </c>
      <c r="F569" s="23" t="s">
        <v>20</v>
      </c>
    </row>
    <row r="570" spans="1:6" ht="15.75" thickBot="1" x14ac:dyDescent="0.3">
      <c r="A570" s="127"/>
      <c r="B570" s="20" t="s">
        <v>21</v>
      </c>
      <c r="C570" s="20">
        <v>1</v>
      </c>
      <c r="D570" s="127"/>
      <c r="E570" s="22" t="s">
        <v>22</v>
      </c>
      <c r="F570" s="23" t="s">
        <v>23</v>
      </c>
    </row>
    <row r="571" spans="1:6" ht="15.75" thickBot="1" x14ac:dyDescent="0.3">
      <c r="A571" s="127"/>
      <c r="B571" s="20" t="s">
        <v>24</v>
      </c>
      <c r="C571" s="21">
        <v>44972</v>
      </c>
      <c r="D571" s="127"/>
      <c r="E571" s="22" t="s">
        <v>25</v>
      </c>
      <c r="F571" s="23"/>
    </row>
    <row r="572" spans="1:6" ht="15.75" thickBot="1" x14ac:dyDescent="0.3">
      <c r="A572" s="127"/>
      <c r="B572" s="20" t="s">
        <v>21</v>
      </c>
      <c r="C572" s="20">
        <v>1</v>
      </c>
      <c r="D572" s="127"/>
      <c r="E572" s="22" t="s">
        <v>26</v>
      </c>
      <c r="F572" s="23"/>
    </row>
    <row r="573" spans="1:6" ht="17.25" thickBot="1" x14ac:dyDescent="0.3">
      <c r="A573" s="1"/>
      <c r="B573" s="1"/>
      <c r="C573" s="1"/>
      <c r="D573" s="1"/>
      <c r="E573" s="1"/>
      <c r="F573" s="1"/>
    </row>
    <row r="574" spans="1:6" x14ac:dyDescent="0.25">
      <c r="A574" s="45" t="s">
        <v>27</v>
      </c>
      <c r="B574" s="45" t="s">
        <v>28</v>
      </c>
      <c r="C574" s="45" t="s">
        <v>29</v>
      </c>
      <c r="D574" s="45" t="s">
        <v>30</v>
      </c>
      <c r="E574" s="45" t="s">
        <v>31</v>
      </c>
      <c r="F574" s="45" t="s">
        <v>32</v>
      </c>
    </row>
    <row r="575" spans="1:6" x14ac:dyDescent="0.25">
      <c r="A575" s="46">
        <v>44103105</v>
      </c>
      <c r="B575" s="58" t="s">
        <v>163</v>
      </c>
      <c r="C575" s="26" t="s">
        <v>68</v>
      </c>
      <c r="D575" s="25">
        <v>6</v>
      </c>
      <c r="E575" s="27">
        <v>8000</v>
      </c>
      <c r="F575" s="28">
        <f>+Table410141817283032162592[[#This Row],[PRECIO UNITARIO ESTIMADO]]*Table410141817283032162592[[#This Row],[CANTIDAD TOTAL ESTIMADA]]</f>
        <v>48000</v>
      </c>
    </row>
    <row r="576" spans="1:6" x14ac:dyDescent="0.25">
      <c r="A576" s="46">
        <v>44103105</v>
      </c>
      <c r="B576" s="58" t="s">
        <v>164</v>
      </c>
      <c r="C576" s="26" t="s">
        <v>68</v>
      </c>
      <c r="D576" s="2">
        <v>6</v>
      </c>
      <c r="E576" s="27">
        <v>6500</v>
      </c>
      <c r="F576" s="28">
        <f>+Table410141817283032162592[[#This Row],[PRECIO UNITARIO ESTIMADO]]*Table410141817283032162592[[#This Row],[CANTIDAD TOTAL ESTIMADA]]</f>
        <v>39000</v>
      </c>
    </row>
    <row r="577" spans="1:6" x14ac:dyDescent="0.25">
      <c r="A577" s="46">
        <v>44103105</v>
      </c>
      <c r="B577" s="58" t="s">
        <v>165</v>
      </c>
      <c r="C577" s="26" t="s">
        <v>68</v>
      </c>
      <c r="D577" s="25">
        <v>6</v>
      </c>
      <c r="E577" s="27">
        <v>6500</v>
      </c>
      <c r="F577" s="28">
        <f>+Table410141817283032162592[[#This Row],[PRECIO UNITARIO ESTIMADO]]*Table410141817283032162592[[#This Row],[CANTIDAD TOTAL ESTIMADA]]</f>
        <v>39000</v>
      </c>
    </row>
    <row r="578" spans="1:6" x14ac:dyDescent="0.25">
      <c r="A578" s="46">
        <v>44103105</v>
      </c>
      <c r="B578" s="58" t="s">
        <v>166</v>
      </c>
      <c r="C578" s="26" t="s">
        <v>68</v>
      </c>
      <c r="D578" s="25">
        <v>6</v>
      </c>
      <c r="E578" s="27">
        <v>6500</v>
      </c>
      <c r="F578" s="28">
        <f>+Table410141817283032162592[[#This Row],[PRECIO UNITARIO ESTIMADO]]*Table410141817283032162592[[#This Row],[CANTIDAD TOTAL ESTIMADA]]</f>
        <v>39000</v>
      </c>
    </row>
    <row r="579" spans="1:6" x14ac:dyDescent="0.25">
      <c r="A579" s="46">
        <v>44103105</v>
      </c>
      <c r="B579" s="58" t="s">
        <v>167</v>
      </c>
      <c r="C579" s="26" t="s">
        <v>68</v>
      </c>
      <c r="D579" s="53">
        <v>6</v>
      </c>
      <c r="E579" s="54">
        <v>5000</v>
      </c>
      <c r="F579" s="55">
        <f>+Table410141817283032162592[[#This Row],[PRECIO UNITARIO ESTIMADO]]*Table410141817283032162592[[#This Row],[CANTIDAD TOTAL ESTIMADA]]</f>
        <v>30000</v>
      </c>
    </row>
    <row r="580" spans="1:6" x14ac:dyDescent="0.25">
      <c r="A580" s="46">
        <v>44103105</v>
      </c>
      <c r="B580" s="58" t="s">
        <v>168</v>
      </c>
      <c r="C580" s="26" t="s">
        <v>68</v>
      </c>
      <c r="D580" s="53">
        <v>6</v>
      </c>
      <c r="E580" s="54">
        <v>4500</v>
      </c>
      <c r="F580" s="55">
        <f>+Table410141817283032162592[[#This Row],[PRECIO UNITARIO ESTIMADO]]*Table410141817283032162592[[#This Row],[CANTIDAD TOTAL ESTIMADA]]</f>
        <v>27000</v>
      </c>
    </row>
    <row r="581" spans="1:6" x14ac:dyDescent="0.25">
      <c r="A581" s="46">
        <v>44103105</v>
      </c>
      <c r="B581" s="58" t="s">
        <v>169</v>
      </c>
      <c r="C581" s="26" t="s">
        <v>68</v>
      </c>
      <c r="D581" s="53">
        <v>6</v>
      </c>
      <c r="E581" s="54">
        <v>4500</v>
      </c>
      <c r="F581" s="55">
        <f>+Table410141817283032162592[[#This Row],[PRECIO UNITARIO ESTIMADO]]*Table410141817283032162592[[#This Row],[CANTIDAD TOTAL ESTIMADA]]</f>
        <v>27000</v>
      </c>
    </row>
    <row r="582" spans="1:6" x14ac:dyDescent="0.25">
      <c r="A582" s="46">
        <v>44103105</v>
      </c>
      <c r="B582" s="58" t="s">
        <v>170</v>
      </c>
      <c r="C582" s="26" t="s">
        <v>68</v>
      </c>
      <c r="D582" s="59">
        <v>6</v>
      </c>
      <c r="E582" s="54">
        <v>4500</v>
      </c>
      <c r="F582" s="55">
        <f>+Table410141817283032162592[[#This Row],[PRECIO UNITARIO ESTIMADO]]*Table410141817283032162592[[#This Row],[CANTIDAD TOTAL ESTIMADA]]</f>
        <v>27000</v>
      </c>
    </row>
    <row r="583" spans="1:6" x14ac:dyDescent="0.25">
      <c r="A583" s="46">
        <v>44103105</v>
      </c>
      <c r="B583" s="58" t="s">
        <v>171</v>
      </c>
      <c r="C583" s="26" t="s">
        <v>68</v>
      </c>
      <c r="D583" s="59">
        <v>6</v>
      </c>
      <c r="E583" s="54">
        <v>6500</v>
      </c>
      <c r="F583" s="55">
        <f>+Table410141817283032162592[[#This Row],[PRECIO UNITARIO ESTIMADO]]*Table410141817283032162592[[#This Row],[CANTIDAD TOTAL ESTIMADA]]</f>
        <v>39000</v>
      </c>
    </row>
    <row r="584" spans="1:6" x14ac:dyDescent="0.25">
      <c r="A584" s="46">
        <v>44103105</v>
      </c>
      <c r="B584" s="58" t="s">
        <v>172</v>
      </c>
      <c r="C584" s="26" t="s">
        <v>68</v>
      </c>
      <c r="D584" s="59">
        <v>6</v>
      </c>
      <c r="E584" s="54">
        <v>6000</v>
      </c>
      <c r="F584" s="55">
        <f>+Table410141817283032162592[[#This Row],[PRECIO UNITARIO ESTIMADO]]*Table410141817283032162592[[#This Row],[CANTIDAD TOTAL ESTIMADA]]</f>
        <v>36000</v>
      </c>
    </row>
    <row r="585" spans="1:6" x14ac:dyDescent="0.25">
      <c r="A585" s="46">
        <v>44103105</v>
      </c>
      <c r="B585" s="58" t="s">
        <v>173</v>
      </c>
      <c r="C585" s="26" t="s">
        <v>68</v>
      </c>
      <c r="D585" s="59">
        <v>6</v>
      </c>
      <c r="E585" s="54">
        <v>6000</v>
      </c>
      <c r="F585" s="55">
        <f>+Table410141817283032162592[[#This Row],[PRECIO UNITARIO ESTIMADO]]*Table410141817283032162592[[#This Row],[CANTIDAD TOTAL ESTIMADA]]</f>
        <v>36000</v>
      </c>
    </row>
    <row r="586" spans="1:6" x14ac:dyDescent="0.25">
      <c r="A586" s="46">
        <v>44103105</v>
      </c>
      <c r="B586" s="58" t="s">
        <v>174</v>
      </c>
      <c r="C586" s="26" t="s">
        <v>68</v>
      </c>
      <c r="D586" s="59">
        <v>6</v>
      </c>
      <c r="E586" s="54">
        <v>6000</v>
      </c>
      <c r="F586" s="55">
        <f>+Table410141817283032162592[[#This Row],[PRECIO UNITARIO ESTIMADO]]*Table410141817283032162592[[#This Row],[CANTIDAD TOTAL ESTIMADA]]</f>
        <v>36000</v>
      </c>
    </row>
    <row r="587" spans="1:6" x14ac:dyDescent="0.25">
      <c r="A587" s="46">
        <v>44103105</v>
      </c>
      <c r="B587" s="58" t="s">
        <v>175</v>
      </c>
      <c r="C587" s="26" t="s">
        <v>68</v>
      </c>
      <c r="D587" s="59">
        <v>6</v>
      </c>
      <c r="E587" s="54">
        <v>6500</v>
      </c>
      <c r="F587" s="55">
        <f>+Table410141817283032162592[[#This Row],[PRECIO UNITARIO ESTIMADO]]*Table410141817283032162592[[#This Row],[CANTIDAD TOTAL ESTIMADA]]</f>
        <v>39000</v>
      </c>
    </row>
    <row r="588" spans="1:6" x14ac:dyDescent="0.25">
      <c r="A588" s="46">
        <v>44103105</v>
      </c>
      <c r="B588" s="58" t="s">
        <v>176</v>
      </c>
      <c r="C588" s="26" t="s">
        <v>68</v>
      </c>
      <c r="D588" s="59">
        <v>6</v>
      </c>
      <c r="E588" s="54">
        <v>6000</v>
      </c>
      <c r="F588" s="55">
        <f>+Table410141817283032162592[[#This Row],[PRECIO UNITARIO ESTIMADO]]*Table410141817283032162592[[#This Row],[CANTIDAD TOTAL ESTIMADA]]</f>
        <v>36000</v>
      </c>
    </row>
    <row r="589" spans="1:6" x14ac:dyDescent="0.25">
      <c r="A589" s="46">
        <v>44103105</v>
      </c>
      <c r="B589" s="58" t="s">
        <v>177</v>
      </c>
      <c r="C589" s="26" t="s">
        <v>68</v>
      </c>
      <c r="D589" s="59">
        <v>6</v>
      </c>
      <c r="E589" s="54">
        <v>6000</v>
      </c>
      <c r="F589" s="55">
        <f>+Table410141817283032162592[[#This Row],[PRECIO UNITARIO ESTIMADO]]*Table410141817283032162592[[#This Row],[CANTIDAD TOTAL ESTIMADA]]</f>
        <v>36000</v>
      </c>
    </row>
    <row r="590" spans="1:6" x14ac:dyDescent="0.25">
      <c r="A590" s="46">
        <v>44103105</v>
      </c>
      <c r="B590" s="58" t="s">
        <v>178</v>
      </c>
      <c r="C590" s="26" t="s">
        <v>68</v>
      </c>
      <c r="D590" s="59">
        <v>6</v>
      </c>
      <c r="E590" s="54">
        <v>6000</v>
      </c>
      <c r="F590" s="55">
        <f>+Table410141817283032162592[[#This Row],[PRECIO UNITARIO ESTIMADO]]*Table410141817283032162592[[#This Row],[CANTIDAD TOTAL ESTIMADA]]</f>
        <v>36000</v>
      </c>
    </row>
    <row r="591" spans="1:6" x14ac:dyDescent="0.25">
      <c r="A591" s="46">
        <v>44103120</v>
      </c>
      <c r="B591" s="58" t="s">
        <v>179</v>
      </c>
      <c r="C591" s="26" t="s">
        <v>68</v>
      </c>
      <c r="D591" s="3">
        <v>2</v>
      </c>
      <c r="E591" s="54">
        <v>4000</v>
      </c>
      <c r="F591" s="55">
        <f>+Table410141817283032162592[[#This Row],[PRECIO UNITARIO ESTIMADO]]*Table410141817283032162592[[#This Row],[CANTIDAD TOTAL ESTIMADA]]</f>
        <v>8000</v>
      </c>
    </row>
    <row r="592" spans="1:6" x14ac:dyDescent="0.25">
      <c r="A592" s="63">
        <v>44103120</v>
      </c>
      <c r="B592" s="58" t="s">
        <v>180</v>
      </c>
      <c r="C592" s="26" t="s">
        <v>68</v>
      </c>
      <c r="D592" s="3">
        <v>2</v>
      </c>
      <c r="E592" s="64">
        <v>3000</v>
      </c>
      <c r="F592" s="55">
        <f>+Table410141817283032162592[[#This Row],[PRECIO UNITARIO ESTIMADO]]*Table410141817283032162592[[#This Row],[CANTIDAD TOTAL ESTIMADA]]</f>
        <v>6000</v>
      </c>
    </row>
    <row r="593" spans="1:6" x14ac:dyDescent="0.25">
      <c r="A593" s="46"/>
      <c r="B593" s="61"/>
      <c r="C593" s="52"/>
      <c r="D593" s="62"/>
      <c r="E593" s="54"/>
      <c r="F593" s="55">
        <f>+Table410141817283032162592[[#This Row],[PRECIO UNITARIO ESTIMADO]]*Table410141817283032162592[[#This Row],[CANTIDAD TOTAL ESTIMADA]]</f>
        <v>0</v>
      </c>
    </row>
    <row r="594" spans="1:6" ht="16.5" x14ac:dyDescent="0.25">
      <c r="A594" s="1"/>
      <c r="B594" s="1"/>
      <c r="C594" s="1"/>
      <c r="D594" s="1"/>
      <c r="E594" s="49" t="s">
        <v>40</v>
      </c>
      <c r="F594" s="50">
        <f>SUM(F575:F592)</f>
        <v>584000</v>
      </c>
    </row>
    <row r="596" spans="1:6" ht="15.75" thickBot="1" x14ac:dyDescent="0.3"/>
    <row r="597" spans="1:6" ht="45.75" thickBot="1" x14ac:dyDescent="0.3">
      <c r="A597" s="37" t="s">
        <v>41</v>
      </c>
      <c r="B597" s="37" t="s">
        <v>42</v>
      </c>
      <c r="C597" s="37" t="s">
        <v>43</v>
      </c>
      <c r="D597" s="37" t="s">
        <v>44</v>
      </c>
      <c r="E597" s="37" t="s">
        <v>45</v>
      </c>
      <c r="F597" s="37" t="s">
        <v>46</v>
      </c>
    </row>
    <row r="598" spans="1:6" ht="30.75" thickBot="1" x14ac:dyDescent="0.3">
      <c r="A598" s="32" t="s">
        <v>182</v>
      </c>
      <c r="B598" s="43" t="s">
        <v>183</v>
      </c>
      <c r="C598" s="33" t="s">
        <v>64</v>
      </c>
      <c r="D598" s="32" t="s">
        <v>184</v>
      </c>
      <c r="E598" s="33" t="s">
        <v>51</v>
      </c>
      <c r="F598" s="33"/>
    </row>
    <row r="599" spans="1:6" ht="15.75" thickBot="1" x14ac:dyDescent="0.3">
      <c r="A599" s="126" t="s">
        <v>16</v>
      </c>
      <c r="B599" s="20" t="s">
        <v>17</v>
      </c>
      <c r="C599" s="21">
        <v>44967</v>
      </c>
      <c r="D599" s="126" t="s">
        <v>18</v>
      </c>
      <c r="E599" s="22" t="s">
        <v>19</v>
      </c>
      <c r="F599" s="23" t="s">
        <v>20</v>
      </c>
    </row>
    <row r="600" spans="1:6" ht="15.75" thickBot="1" x14ac:dyDescent="0.3">
      <c r="A600" s="127"/>
      <c r="B600" s="20" t="s">
        <v>21</v>
      </c>
      <c r="C600" s="20">
        <v>1</v>
      </c>
      <c r="D600" s="127"/>
      <c r="E600" s="22" t="s">
        <v>22</v>
      </c>
      <c r="F600" s="23" t="s">
        <v>23</v>
      </c>
    </row>
    <row r="601" spans="1:6" ht="15.75" thickBot="1" x14ac:dyDescent="0.3">
      <c r="A601" s="127"/>
      <c r="B601" s="20" t="s">
        <v>24</v>
      </c>
      <c r="C601" s="21">
        <v>44972</v>
      </c>
      <c r="D601" s="127"/>
      <c r="E601" s="22" t="s">
        <v>25</v>
      </c>
      <c r="F601" s="23"/>
    </row>
    <row r="602" spans="1:6" ht="15.75" thickBot="1" x14ac:dyDescent="0.3">
      <c r="A602" s="127"/>
      <c r="B602" s="20" t="s">
        <v>21</v>
      </c>
      <c r="C602" s="20">
        <v>1</v>
      </c>
      <c r="D602" s="127"/>
      <c r="E602" s="22" t="s">
        <v>26</v>
      </c>
      <c r="F602" s="23"/>
    </row>
    <row r="603" spans="1:6" ht="17.25" thickBot="1" x14ac:dyDescent="0.3">
      <c r="A603" s="1"/>
      <c r="B603" s="1"/>
      <c r="C603" s="1"/>
      <c r="D603" s="1"/>
      <c r="E603" s="1"/>
      <c r="F603" s="1"/>
    </row>
    <row r="604" spans="1:6" x14ac:dyDescent="0.25">
      <c r="A604" s="45" t="s">
        <v>27</v>
      </c>
      <c r="B604" s="45" t="s">
        <v>28</v>
      </c>
      <c r="C604" s="45" t="s">
        <v>29</v>
      </c>
      <c r="D604" s="45" t="s">
        <v>30</v>
      </c>
      <c r="E604" s="45" t="s">
        <v>31</v>
      </c>
      <c r="F604" s="45" t="s">
        <v>32</v>
      </c>
    </row>
    <row r="605" spans="1:6" x14ac:dyDescent="0.25">
      <c r="A605" s="46">
        <v>80121704</v>
      </c>
      <c r="B605" s="58" t="s">
        <v>185</v>
      </c>
      <c r="C605" s="26" t="s">
        <v>68</v>
      </c>
      <c r="D605" s="25">
        <v>30</v>
      </c>
      <c r="E605" s="27">
        <v>5000</v>
      </c>
      <c r="F605" s="28">
        <f>+Table410141817283032163194[[#This Row],[PRECIO UNITARIO ESTIMADO]]*Table410141817283032163194[[#This Row],[CANTIDAD TOTAL ESTIMADA]]</f>
        <v>150000</v>
      </c>
    </row>
    <row r="606" spans="1:6" x14ac:dyDescent="0.25">
      <c r="A606" s="46">
        <v>80121704</v>
      </c>
      <c r="B606" s="58" t="s">
        <v>186</v>
      </c>
      <c r="C606" s="26" t="s">
        <v>68</v>
      </c>
      <c r="D606" s="2">
        <v>6</v>
      </c>
      <c r="E606" s="27">
        <v>50000</v>
      </c>
      <c r="F606" s="28">
        <f>+Table410141817283032163194[[#This Row],[PRECIO UNITARIO ESTIMADO]]*Table410141817283032163194[[#This Row],[CANTIDAD TOTAL ESTIMADA]]</f>
        <v>300000</v>
      </c>
    </row>
    <row r="607" spans="1:6" x14ac:dyDescent="0.25">
      <c r="A607" s="46"/>
      <c r="B607" s="61"/>
      <c r="C607" s="52"/>
      <c r="D607" s="62"/>
      <c r="E607" s="54"/>
      <c r="F607" s="55">
        <f>+Table410141817283032163194[[#This Row],[PRECIO UNITARIO ESTIMADO]]*Table410141817283032163194[[#This Row],[CANTIDAD TOTAL ESTIMADA]]</f>
        <v>0</v>
      </c>
    </row>
    <row r="608" spans="1:6" ht="16.5" x14ac:dyDescent="0.25">
      <c r="A608" s="1"/>
      <c r="B608" s="1"/>
      <c r="C608" s="1"/>
      <c r="D608" s="1"/>
      <c r="E608" s="49" t="s">
        <v>40</v>
      </c>
      <c r="F608" s="50">
        <f>SUM(F605:F606)</f>
        <v>450000</v>
      </c>
    </row>
    <row r="610" spans="1:6" ht="15.75" thickBot="1" x14ac:dyDescent="0.3"/>
    <row r="611" spans="1:6" ht="45.75" thickBot="1" x14ac:dyDescent="0.3">
      <c r="A611" s="37" t="s">
        <v>41</v>
      </c>
      <c r="B611" s="37" t="s">
        <v>42</v>
      </c>
      <c r="C611" s="37" t="s">
        <v>43</v>
      </c>
      <c r="D611" s="37" t="s">
        <v>44</v>
      </c>
      <c r="E611" s="37" t="s">
        <v>45</v>
      </c>
      <c r="F611" s="37" t="s">
        <v>46</v>
      </c>
    </row>
    <row r="612" spans="1:6" ht="30.75" thickBot="1" x14ac:dyDescent="0.3">
      <c r="A612" s="32" t="s">
        <v>187</v>
      </c>
      <c r="B612" s="47" t="s">
        <v>188</v>
      </c>
      <c r="C612" s="33" t="s">
        <v>64</v>
      </c>
      <c r="D612" s="32" t="s">
        <v>189</v>
      </c>
      <c r="E612" s="33" t="s">
        <v>51</v>
      </c>
      <c r="F612" s="33"/>
    </row>
    <row r="613" spans="1:6" ht="15.75" thickBot="1" x14ac:dyDescent="0.3">
      <c r="A613" s="126" t="s">
        <v>16</v>
      </c>
      <c r="B613" s="20" t="s">
        <v>17</v>
      </c>
      <c r="C613" s="21">
        <v>44967</v>
      </c>
      <c r="D613" s="126" t="s">
        <v>18</v>
      </c>
      <c r="E613" s="22" t="s">
        <v>19</v>
      </c>
      <c r="F613" s="23" t="s">
        <v>20</v>
      </c>
    </row>
    <row r="614" spans="1:6" ht="15.75" thickBot="1" x14ac:dyDescent="0.3">
      <c r="A614" s="127"/>
      <c r="B614" s="20" t="s">
        <v>21</v>
      </c>
      <c r="C614" s="20">
        <v>1</v>
      </c>
      <c r="D614" s="127"/>
      <c r="E614" s="22" t="s">
        <v>22</v>
      </c>
      <c r="F614" s="23" t="s">
        <v>23</v>
      </c>
    </row>
    <row r="615" spans="1:6" ht="15.75" thickBot="1" x14ac:dyDescent="0.3">
      <c r="A615" s="127"/>
      <c r="B615" s="20" t="s">
        <v>24</v>
      </c>
      <c r="C615" s="21">
        <v>44972</v>
      </c>
      <c r="D615" s="127"/>
      <c r="E615" s="22" t="s">
        <v>25</v>
      </c>
      <c r="F615" s="23"/>
    </row>
    <row r="616" spans="1:6" ht="15.75" thickBot="1" x14ac:dyDescent="0.3">
      <c r="A616" s="127"/>
      <c r="B616" s="20" t="s">
        <v>21</v>
      </c>
      <c r="C616" s="20">
        <v>1</v>
      </c>
      <c r="D616" s="127"/>
      <c r="E616" s="22" t="s">
        <v>26</v>
      </c>
      <c r="F616" s="23"/>
    </row>
    <row r="617" spans="1:6" ht="17.25" thickBot="1" x14ac:dyDescent="0.3">
      <c r="A617" s="1"/>
      <c r="B617" s="1"/>
      <c r="C617" s="1"/>
      <c r="D617" s="1"/>
      <c r="E617" s="1"/>
      <c r="F617" s="1"/>
    </row>
    <row r="618" spans="1:6" x14ac:dyDescent="0.25">
      <c r="A618" s="45" t="s">
        <v>27</v>
      </c>
      <c r="B618" s="45" t="s">
        <v>28</v>
      </c>
      <c r="C618" s="45" t="s">
        <v>29</v>
      </c>
      <c r="D618" s="45" t="s">
        <v>30</v>
      </c>
      <c r="E618" s="45" t="s">
        <v>31</v>
      </c>
      <c r="F618" s="45" t="s">
        <v>32</v>
      </c>
    </row>
    <row r="619" spans="1:6" x14ac:dyDescent="0.25">
      <c r="A619" s="46">
        <v>72101516</v>
      </c>
      <c r="B619" s="58" t="s">
        <v>190</v>
      </c>
      <c r="C619" s="26" t="s">
        <v>68</v>
      </c>
      <c r="D619" s="25">
        <v>5</v>
      </c>
      <c r="E619" s="27">
        <v>3000</v>
      </c>
      <c r="F619" s="28">
        <f>+Table41014181728303216313435374196[[#This Row],[PRECIO UNITARIO ESTIMADO]]*Table41014181728303216313435374196[[#This Row],[CANTIDAD TOTAL ESTIMADA]]</f>
        <v>15000</v>
      </c>
    </row>
    <row r="620" spans="1:6" x14ac:dyDescent="0.25">
      <c r="A620" s="46"/>
      <c r="B620" s="58"/>
      <c r="C620" s="26"/>
      <c r="D620" s="65"/>
      <c r="E620" s="27"/>
      <c r="F620" s="28">
        <f>+Table41014181728303216313435374196[[#This Row],[PRECIO UNITARIO ESTIMADO]]*Table41014181728303216313435374196[[#This Row],[CANTIDAD TOTAL ESTIMADA]]</f>
        <v>0</v>
      </c>
    </row>
    <row r="621" spans="1:6" x14ac:dyDescent="0.25">
      <c r="A621" s="46"/>
      <c r="B621" s="61"/>
      <c r="C621" s="52"/>
      <c r="D621" s="62"/>
      <c r="E621" s="54"/>
      <c r="F621" s="55">
        <f>+Table41014181728303216313435374196[[#This Row],[PRECIO UNITARIO ESTIMADO]]*Table41014181728303216313435374196[[#This Row],[CANTIDAD TOTAL ESTIMADA]]</f>
        <v>0</v>
      </c>
    </row>
    <row r="622" spans="1:6" ht="16.5" x14ac:dyDescent="0.25">
      <c r="A622" s="1"/>
      <c r="B622" s="1"/>
      <c r="C622" s="1"/>
      <c r="D622" s="1"/>
      <c r="E622" s="49" t="s">
        <v>40</v>
      </c>
      <c r="F622" s="50">
        <f>SUM(F619:F619)</f>
        <v>15000</v>
      </c>
    </row>
    <row r="624" spans="1:6" ht="15.75" thickBot="1" x14ac:dyDescent="0.3"/>
    <row r="625" spans="1:6" ht="45.75" thickBot="1" x14ac:dyDescent="0.3">
      <c r="A625" s="37" t="s">
        <v>41</v>
      </c>
      <c r="B625" s="37" t="s">
        <v>42</v>
      </c>
      <c r="C625" s="37" t="s">
        <v>43</v>
      </c>
      <c r="D625" s="37" t="s">
        <v>44</v>
      </c>
      <c r="E625" s="37" t="s">
        <v>45</v>
      </c>
      <c r="F625" s="37" t="s">
        <v>46</v>
      </c>
    </row>
    <row r="626" spans="1:6" ht="30.75" thickBot="1" x14ac:dyDescent="0.3">
      <c r="A626" s="32" t="s">
        <v>191</v>
      </c>
      <c r="B626" s="47" t="s">
        <v>192</v>
      </c>
      <c r="C626" s="33" t="s">
        <v>64</v>
      </c>
      <c r="D626" s="32" t="s">
        <v>193</v>
      </c>
      <c r="E626" s="33" t="s">
        <v>51</v>
      </c>
      <c r="F626" s="33"/>
    </row>
    <row r="627" spans="1:6" ht="15.75" thickBot="1" x14ac:dyDescent="0.3">
      <c r="A627" s="126" t="s">
        <v>16</v>
      </c>
      <c r="B627" s="20" t="s">
        <v>17</v>
      </c>
      <c r="C627" s="21">
        <v>44967</v>
      </c>
      <c r="D627" s="126" t="s">
        <v>18</v>
      </c>
      <c r="E627" s="22" t="s">
        <v>19</v>
      </c>
      <c r="F627" s="23" t="s">
        <v>20</v>
      </c>
    </row>
    <row r="628" spans="1:6" ht="15.75" thickBot="1" x14ac:dyDescent="0.3">
      <c r="A628" s="127"/>
      <c r="B628" s="20" t="s">
        <v>21</v>
      </c>
      <c r="C628" s="20">
        <v>1</v>
      </c>
      <c r="D628" s="127"/>
      <c r="E628" s="22" t="s">
        <v>22</v>
      </c>
      <c r="F628" s="23" t="s">
        <v>23</v>
      </c>
    </row>
    <row r="629" spans="1:6" ht="15.75" thickBot="1" x14ac:dyDescent="0.3">
      <c r="A629" s="127"/>
      <c r="B629" s="20" t="s">
        <v>24</v>
      </c>
      <c r="C629" s="21">
        <v>44972</v>
      </c>
      <c r="D629" s="127"/>
      <c r="E629" s="22" t="s">
        <v>25</v>
      </c>
      <c r="F629" s="23"/>
    </row>
    <row r="630" spans="1:6" ht="15.75" thickBot="1" x14ac:dyDescent="0.3">
      <c r="A630" s="127"/>
      <c r="B630" s="20" t="s">
        <v>21</v>
      </c>
      <c r="C630" s="20">
        <v>1</v>
      </c>
      <c r="D630" s="127"/>
      <c r="E630" s="22" t="s">
        <v>26</v>
      </c>
      <c r="F630" s="23"/>
    </row>
    <row r="631" spans="1:6" ht="17.25" thickBot="1" x14ac:dyDescent="0.3">
      <c r="A631" s="1"/>
      <c r="B631" s="1"/>
      <c r="C631" s="1"/>
      <c r="D631" s="1"/>
      <c r="E631" s="1"/>
      <c r="F631" s="1"/>
    </row>
    <row r="632" spans="1:6" x14ac:dyDescent="0.25">
      <c r="A632" s="45" t="s">
        <v>27</v>
      </c>
      <c r="B632" s="45" t="s">
        <v>28</v>
      </c>
      <c r="C632" s="45" t="s">
        <v>29</v>
      </c>
      <c r="D632" s="45" t="s">
        <v>30</v>
      </c>
      <c r="E632" s="45" t="s">
        <v>31</v>
      </c>
      <c r="F632" s="45" t="s">
        <v>32</v>
      </c>
    </row>
    <row r="633" spans="1:6" x14ac:dyDescent="0.25">
      <c r="A633" s="46">
        <v>90101801</v>
      </c>
      <c r="B633" s="58" t="s">
        <v>194</v>
      </c>
      <c r="C633" s="26" t="s">
        <v>68</v>
      </c>
      <c r="D633" s="66">
        <f t="shared" ref="D633:D634" si="3">92*22*12</f>
        <v>24288</v>
      </c>
      <c r="E633" s="27">
        <v>300</v>
      </c>
      <c r="F633" s="28">
        <f>+Table4101418172830321631343537414599[[#This Row],[PRECIO UNITARIO ESTIMADO]]*Table4101418172830321631343537414599[[#This Row],[CANTIDAD TOTAL ESTIMADA]]</f>
        <v>7286400</v>
      </c>
    </row>
    <row r="634" spans="1:6" x14ac:dyDescent="0.25">
      <c r="A634" s="46"/>
      <c r="B634" s="61"/>
      <c r="C634" s="52"/>
      <c r="D634" s="67">
        <f t="shared" si="3"/>
        <v>24288</v>
      </c>
      <c r="E634" s="54"/>
      <c r="F634" s="55">
        <f>+Table4101418172830321631343537414599[[#This Row],[PRECIO UNITARIO ESTIMADO]]*Table4101418172830321631343537414599[[#This Row],[CANTIDAD TOTAL ESTIMADA]]</f>
        <v>0</v>
      </c>
    </row>
    <row r="635" spans="1:6" ht="16.5" x14ac:dyDescent="0.25">
      <c r="A635" s="1"/>
      <c r="B635" s="1"/>
      <c r="C635" s="1"/>
      <c r="D635" s="1"/>
      <c r="E635" s="49" t="s">
        <v>40</v>
      </c>
      <c r="F635" s="50">
        <f>SUM(F633:F633)</f>
        <v>7286400</v>
      </c>
    </row>
    <row r="637" spans="1:6" ht="15.75" thickBot="1" x14ac:dyDescent="0.3"/>
    <row r="638" spans="1:6" ht="45.75" thickBot="1" x14ac:dyDescent="0.3">
      <c r="A638" s="37" t="s">
        <v>41</v>
      </c>
      <c r="B638" s="37" t="s">
        <v>42</v>
      </c>
      <c r="C638" s="37" t="s">
        <v>43</v>
      </c>
      <c r="D638" s="37" t="s">
        <v>44</v>
      </c>
      <c r="E638" s="37" t="s">
        <v>45</v>
      </c>
      <c r="F638" s="37" t="s">
        <v>46</v>
      </c>
    </row>
    <row r="639" spans="1:6" ht="30.75" thickBot="1" x14ac:dyDescent="0.3">
      <c r="A639" s="32" t="s">
        <v>195</v>
      </c>
      <c r="B639" s="47" t="s">
        <v>195</v>
      </c>
      <c r="C639" s="33" t="s">
        <v>92</v>
      </c>
      <c r="D639" s="32" t="s">
        <v>193</v>
      </c>
      <c r="E639" s="33" t="s">
        <v>51</v>
      </c>
      <c r="F639" s="33"/>
    </row>
    <row r="640" spans="1:6" ht="15.75" thickBot="1" x14ac:dyDescent="0.3">
      <c r="A640" s="126" t="s">
        <v>16</v>
      </c>
      <c r="B640" s="20" t="s">
        <v>17</v>
      </c>
      <c r="C640" s="21">
        <v>44959</v>
      </c>
      <c r="D640" s="126" t="s">
        <v>18</v>
      </c>
      <c r="E640" s="22" t="s">
        <v>19</v>
      </c>
      <c r="F640" s="23" t="s">
        <v>20</v>
      </c>
    </row>
    <row r="641" spans="1:6" ht="15.75" thickBot="1" x14ac:dyDescent="0.3">
      <c r="A641" s="127"/>
      <c r="B641" s="20" t="s">
        <v>21</v>
      </c>
      <c r="C641" s="20">
        <v>1</v>
      </c>
      <c r="D641" s="127"/>
      <c r="E641" s="22" t="s">
        <v>22</v>
      </c>
      <c r="F641" s="23" t="s">
        <v>23</v>
      </c>
    </row>
    <row r="642" spans="1:6" ht="15.75" thickBot="1" x14ac:dyDescent="0.3">
      <c r="A642" s="127"/>
      <c r="B642" s="20" t="s">
        <v>24</v>
      </c>
      <c r="C642" s="21">
        <v>44988</v>
      </c>
      <c r="D642" s="127"/>
      <c r="E642" s="22" t="s">
        <v>25</v>
      </c>
      <c r="F642" s="23"/>
    </row>
    <row r="643" spans="1:6" ht="15.75" thickBot="1" x14ac:dyDescent="0.3">
      <c r="A643" s="127"/>
      <c r="B643" s="20" t="s">
        <v>21</v>
      </c>
      <c r="C643" s="20">
        <v>1</v>
      </c>
      <c r="D643" s="127"/>
      <c r="E643" s="22" t="s">
        <v>26</v>
      </c>
      <c r="F643" s="23"/>
    </row>
    <row r="644" spans="1:6" ht="17.25" thickBot="1" x14ac:dyDescent="0.3">
      <c r="A644" s="1"/>
      <c r="B644" s="1"/>
      <c r="C644" s="1"/>
      <c r="D644" s="1"/>
      <c r="E644" s="1"/>
      <c r="F644" s="1"/>
    </row>
    <row r="645" spans="1:6" x14ac:dyDescent="0.25">
      <c r="A645" s="45" t="s">
        <v>27</v>
      </c>
      <c r="B645" s="45" t="s">
        <v>28</v>
      </c>
      <c r="C645" s="45" t="s">
        <v>29</v>
      </c>
      <c r="D645" s="45" t="s">
        <v>30</v>
      </c>
      <c r="E645" s="45" t="s">
        <v>31</v>
      </c>
      <c r="F645" s="45" t="s">
        <v>32</v>
      </c>
    </row>
    <row r="646" spans="1:6" x14ac:dyDescent="0.25">
      <c r="A646" s="46">
        <v>15101506</v>
      </c>
      <c r="B646" s="58" t="s">
        <v>196</v>
      </c>
      <c r="C646" s="26" t="s">
        <v>68</v>
      </c>
      <c r="D646" s="25">
        <v>1800</v>
      </c>
      <c r="E646" s="27">
        <v>1000</v>
      </c>
      <c r="F646" s="28">
        <f>+Table4101418172830321631343537414549101[[#This Row],[PRECIO UNITARIO ESTIMADO]]*Table4101418172830321631343537414549101[[#This Row],[CANTIDAD TOTAL ESTIMADA]]</f>
        <v>1800000</v>
      </c>
    </row>
    <row r="647" spans="1:6" x14ac:dyDescent="0.25">
      <c r="A647" s="46">
        <v>15101506</v>
      </c>
      <c r="B647" s="58" t="s">
        <v>197</v>
      </c>
      <c r="C647" s="26" t="s">
        <v>68</v>
      </c>
      <c r="D647" s="65">
        <v>1800</v>
      </c>
      <c r="E647" s="27">
        <v>500</v>
      </c>
      <c r="F647" s="28">
        <f>+Table4101418172830321631343537414549101[[#This Row],[PRECIO UNITARIO ESTIMADO]]*Table4101418172830321631343537414549101[[#This Row],[CANTIDAD TOTAL ESTIMADA]]</f>
        <v>900000</v>
      </c>
    </row>
    <row r="648" spans="1:6" x14ac:dyDescent="0.25">
      <c r="A648" s="46">
        <v>15101506</v>
      </c>
      <c r="B648" s="58" t="s">
        <v>198</v>
      </c>
      <c r="C648" s="26" t="s">
        <v>68</v>
      </c>
      <c r="D648" s="65">
        <v>1200</v>
      </c>
      <c r="E648" s="27">
        <v>200</v>
      </c>
      <c r="F648" s="28">
        <f>+Table4101418172830321631343537414549101[[#This Row],[PRECIO UNITARIO ESTIMADO]]*Table4101418172830321631343537414549101[[#This Row],[CANTIDAD TOTAL ESTIMADA]]</f>
        <v>240000</v>
      </c>
    </row>
    <row r="649" spans="1:6" x14ac:dyDescent="0.25">
      <c r="A649" s="46">
        <v>15101506</v>
      </c>
      <c r="B649" s="58" t="s">
        <v>199</v>
      </c>
      <c r="C649" s="26" t="s">
        <v>68</v>
      </c>
      <c r="D649" s="65">
        <v>840</v>
      </c>
      <c r="E649" s="27">
        <v>100</v>
      </c>
      <c r="F649" s="28">
        <f>+Table4101418172830321631343537414549101[[#This Row],[PRECIO UNITARIO ESTIMADO]]*Table4101418172830321631343537414549101[[#This Row],[CANTIDAD TOTAL ESTIMADA]]</f>
        <v>84000</v>
      </c>
    </row>
    <row r="650" spans="1:6" x14ac:dyDescent="0.25">
      <c r="A650" s="46"/>
      <c r="B650" s="58"/>
      <c r="C650" s="26"/>
      <c r="D650" s="65"/>
      <c r="E650" s="27"/>
      <c r="F650" s="28">
        <f>+Table4101418172830321631343537414549101[[#This Row],[PRECIO UNITARIO ESTIMADO]]*Table4101418172830321631343537414549101[[#This Row],[CANTIDAD TOTAL ESTIMADA]]</f>
        <v>0</v>
      </c>
    </row>
    <row r="651" spans="1:6" x14ac:dyDescent="0.25">
      <c r="A651" s="46"/>
      <c r="B651" s="61"/>
      <c r="C651" s="52"/>
      <c r="D651" s="62"/>
      <c r="E651" s="54"/>
      <c r="F651" s="55">
        <f>+Table4101418172830321631343537414549101[[#This Row],[PRECIO UNITARIO ESTIMADO]]*Table4101418172830321631343537414549101[[#This Row],[CANTIDAD TOTAL ESTIMADA]]</f>
        <v>0</v>
      </c>
    </row>
    <row r="652" spans="1:6" ht="16.5" x14ac:dyDescent="0.25">
      <c r="A652" s="1"/>
      <c r="B652" s="1"/>
      <c r="C652" s="1"/>
      <c r="D652" s="1"/>
      <c r="E652" s="49" t="s">
        <v>40</v>
      </c>
      <c r="F652" s="50">
        <f>SUM(Table4101418172830321631343537414549101[MONTO TOTAL ESTIMADO])</f>
        <v>3024000</v>
      </c>
    </row>
    <row r="653" spans="1:6" ht="15.75" thickBot="1" x14ac:dyDescent="0.3"/>
    <row r="654" spans="1:6" ht="45.75" thickBot="1" x14ac:dyDescent="0.3">
      <c r="A654" s="37" t="s">
        <v>41</v>
      </c>
      <c r="B654" s="37" t="s">
        <v>42</v>
      </c>
      <c r="C654" s="37" t="s">
        <v>43</v>
      </c>
      <c r="D654" s="37" t="s">
        <v>44</v>
      </c>
      <c r="E654" s="37" t="s">
        <v>45</v>
      </c>
      <c r="F654" s="37" t="s">
        <v>46</v>
      </c>
    </row>
    <row r="655" spans="1:6" ht="30.75" thickBot="1" x14ac:dyDescent="0.3">
      <c r="A655" s="32" t="s">
        <v>200</v>
      </c>
      <c r="B655" s="47" t="s">
        <v>200</v>
      </c>
      <c r="C655" s="33" t="s">
        <v>92</v>
      </c>
      <c r="D655" s="32" t="s">
        <v>201</v>
      </c>
      <c r="E655" s="33" t="s">
        <v>51</v>
      </c>
      <c r="F655" s="33"/>
    </row>
    <row r="656" spans="1:6" ht="15.75" thickBot="1" x14ac:dyDescent="0.3">
      <c r="A656" s="126" t="s">
        <v>16</v>
      </c>
      <c r="B656" s="20" t="s">
        <v>17</v>
      </c>
      <c r="C656" s="21">
        <v>44987</v>
      </c>
      <c r="D656" s="126" t="s">
        <v>18</v>
      </c>
      <c r="E656" s="22" t="s">
        <v>19</v>
      </c>
      <c r="F656" s="23" t="s">
        <v>20</v>
      </c>
    </row>
    <row r="657" spans="1:6" ht="15.75" thickBot="1" x14ac:dyDescent="0.3">
      <c r="A657" s="127"/>
      <c r="B657" s="20" t="s">
        <v>21</v>
      </c>
      <c r="C657" s="20">
        <v>1</v>
      </c>
      <c r="D657" s="127"/>
      <c r="E657" s="22" t="s">
        <v>22</v>
      </c>
      <c r="F657" s="23" t="s">
        <v>23</v>
      </c>
    </row>
    <row r="658" spans="1:6" ht="15.75" thickBot="1" x14ac:dyDescent="0.3">
      <c r="A658" s="127"/>
      <c r="B658" s="20" t="s">
        <v>24</v>
      </c>
      <c r="C658" s="21">
        <v>44988</v>
      </c>
      <c r="D658" s="127"/>
      <c r="E658" s="22" t="s">
        <v>25</v>
      </c>
      <c r="F658" s="23"/>
    </row>
    <row r="659" spans="1:6" ht="15.75" thickBot="1" x14ac:dyDescent="0.3">
      <c r="A659" s="127"/>
      <c r="B659" s="20" t="s">
        <v>21</v>
      </c>
      <c r="C659" s="20">
        <v>1</v>
      </c>
      <c r="D659" s="127"/>
      <c r="E659" s="22" t="s">
        <v>26</v>
      </c>
      <c r="F659" s="23"/>
    </row>
    <row r="660" spans="1:6" ht="17.25" thickBot="1" x14ac:dyDescent="0.3">
      <c r="A660" s="1"/>
      <c r="B660" s="1"/>
      <c r="C660" s="1"/>
      <c r="D660" s="1"/>
      <c r="E660" s="1"/>
      <c r="F660" s="1"/>
    </row>
    <row r="661" spans="1:6" x14ac:dyDescent="0.25">
      <c r="A661" s="45" t="s">
        <v>27</v>
      </c>
      <c r="B661" s="45" t="s">
        <v>28</v>
      </c>
      <c r="C661" s="45" t="s">
        <v>29</v>
      </c>
      <c r="D661" s="45" t="s">
        <v>30</v>
      </c>
      <c r="E661" s="45" t="s">
        <v>31</v>
      </c>
      <c r="F661" s="45" t="s">
        <v>32</v>
      </c>
    </row>
    <row r="662" spans="1:6" x14ac:dyDescent="0.25">
      <c r="A662" s="46" t="s">
        <v>202</v>
      </c>
      <c r="B662" s="58" t="s">
        <v>203</v>
      </c>
      <c r="C662" s="26" t="s">
        <v>68</v>
      </c>
      <c r="D662" s="25">
        <v>100</v>
      </c>
      <c r="E662" s="27">
        <v>400</v>
      </c>
      <c r="F662" s="28">
        <f>+Table410141817283032163134353741454951103[[#This Row],[PRECIO UNITARIO ESTIMADO]]*Table410141817283032163134353741454951103[[#This Row],[CANTIDAD TOTAL ESTIMADA]]</f>
        <v>40000</v>
      </c>
    </row>
    <row r="663" spans="1:6" x14ac:dyDescent="0.25">
      <c r="A663" s="46"/>
      <c r="B663" s="58"/>
      <c r="C663" s="26"/>
      <c r="D663" s="65"/>
      <c r="E663" s="27"/>
      <c r="F663" s="28">
        <f>+Table410141817283032163134353741454951103[[#This Row],[PRECIO UNITARIO ESTIMADO]]*Table410141817283032163134353741454951103[[#This Row],[CANTIDAD TOTAL ESTIMADA]]</f>
        <v>0</v>
      </c>
    </row>
    <row r="664" spans="1:6" ht="16.5" x14ac:dyDescent="0.25">
      <c r="B664" s="1"/>
      <c r="C664" s="1"/>
      <c r="D664" s="1"/>
      <c r="E664" s="49" t="s">
        <v>40</v>
      </c>
      <c r="F664" s="50">
        <f>SUM(Table410141817283032163134353741454951103[MONTO TOTAL ESTIMADO])</f>
        <v>40000</v>
      </c>
    </row>
    <row r="665" spans="1:6" ht="17.25" thickBot="1" x14ac:dyDescent="0.3">
      <c r="A665" s="1"/>
    </row>
    <row r="666" spans="1:6" ht="45.75" thickBot="1" x14ac:dyDescent="0.3">
      <c r="A666" s="37" t="s">
        <v>41</v>
      </c>
      <c r="B666" s="37" t="s">
        <v>42</v>
      </c>
      <c r="C666" s="37" t="s">
        <v>43</v>
      </c>
      <c r="D666" s="37" t="s">
        <v>44</v>
      </c>
      <c r="E666" s="37" t="s">
        <v>45</v>
      </c>
      <c r="F666" s="37" t="s">
        <v>46</v>
      </c>
    </row>
    <row r="667" spans="1:6" ht="30.75" thickBot="1" x14ac:dyDescent="0.3">
      <c r="A667" s="32" t="s">
        <v>204</v>
      </c>
      <c r="B667" s="47" t="s">
        <v>204</v>
      </c>
      <c r="C667" s="33" t="s">
        <v>64</v>
      </c>
      <c r="D667" s="32" t="s">
        <v>205</v>
      </c>
      <c r="E667" s="33" t="s">
        <v>51</v>
      </c>
      <c r="F667" s="33"/>
    </row>
    <row r="668" spans="1:6" ht="15.75" thickBot="1" x14ac:dyDescent="0.3">
      <c r="A668" s="126" t="s">
        <v>16</v>
      </c>
      <c r="B668" s="20" t="s">
        <v>17</v>
      </c>
      <c r="C668" s="21">
        <v>44987</v>
      </c>
      <c r="D668" s="126" t="s">
        <v>18</v>
      </c>
      <c r="E668" s="22" t="s">
        <v>19</v>
      </c>
      <c r="F668" s="23" t="s">
        <v>20</v>
      </c>
    </row>
    <row r="669" spans="1:6" ht="15.75" thickBot="1" x14ac:dyDescent="0.3">
      <c r="A669" s="127"/>
      <c r="B669" s="20" t="s">
        <v>21</v>
      </c>
      <c r="C669" s="20">
        <v>1</v>
      </c>
      <c r="D669" s="127"/>
      <c r="E669" s="22" t="s">
        <v>22</v>
      </c>
      <c r="F669" s="23" t="s">
        <v>23</v>
      </c>
    </row>
    <row r="670" spans="1:6" ht="15.75" thickBot="1" x14ac:dyDescent="0.3">
      <c r="A670" s="127"/>
      <c r="B670" s="20" t="s">
        <v>24</v>
      </c>
      <c r="C670" s="21">
        <v>44988</v>
      </c>
      <c r="D670" s="127"/>
      <c r="E670" s="22" t="s">
        <v>25</v>
      </c>
      <c r="F670" s="23"/>
    </row>
    <row r="671" spans="1:6" ht="15.75" thickBot="1" x14ac:dyDescent="0.3">
      <c r="A671" s="127"/>
      <c r="B671" s="20" t="s">
        <v>21</v>
      </c>
      <c r="C671" s="20">
        <v>1</v>
      </c>
      <c r="D671" s="127"/>
      <c r="E671" s="22" t="s">
        <v>26</v>
      </c>
      <c r="F671" s="23"/>
    </row>
    <row r="672" spans="1:6" ht="17.25" thickBot="1" x14ac:dyDescent="0.3">
      <c r="A672" s="1"/>
      <c r="B672" s="1"/>
      <c r="C672" s="1"/>
      <c r="D672" s="1"/>
      <c r="E672" s="1"/>
      <c r="F672" s="1"/>
    </row>
    <row r="673" spans="1:6" x14ac:dyDescent="0.25">
      <c r="A673" s="45" t="s">
        <v>27</v>
      </c>
      <c r="B673" s="45" t="s">
        <v>28</v>
      </c>
      <c r="C673" s="45" t="s">
        <v>29</v>
      </c>
      <c r="D673" s="45" t="s">
        <v>30</v>
      </c>
      <c r="E673" s="45" t="s">
        <v>31</v>
      </c>
      <c r="F673" s="45" t="s">
        <v>32</v>
      </c>
    </row>
    <row r="674" spans="1:6" x14ac:dyDescent="0.25">
      <c r="A674" s="46">
        <v>81111504</v>
      </c>
      <c r="B674" s="58" t="s">
        <v>206</v>
      </c>
      <c r="C674" s="26" t="s">
        <v>68</v>
      </c>
      <c r="D674" s="25">
        <v>12</v>
      </c>
      <c r="E674" s="27">
        <v>41500</v>
      </c>
      <c r="F674" s="28">
        <f>+Table41014181728303216313435374145495153106[[#This Row],[PRECIO UNITARIO ESTIMADO]]*Table41014181728303216313435374145495153106[[#This Row],[CANTIDAD TOTAL ESTIMADA]]</f>
        <v>498000</v>
      </c>
    </row>
    <row r="675" spans="1:6" x14ac:dyDescent="0.25">
      <c r="A675" s="46"/>
      <c r="B675" s="58"/>
      <c r="C675" s="26"/>
      <c r="D675" s="65"/>
      <c r="E675" s="27"/>
      <c r="F675" s="28">
        <f>+Table41014181728303216313435374145495153106[[#This Row],[PRECIO UNITARIO ESTIMADO]]*Table41014181728303216313435374145495153106[[#This Row],[CANTIDAD TOTAL ESTIMADA]]</f>
        <v>0</v>
      </c>
    </row>
    <row r="676" spans="1:6" ht="16.5" x14ac:dyDescent="0.25">
      <c r="A676" s="1"/>
      <c r="B676" s="1"/>
      <c r="C676" s="1"/>
      <c r="D676" s="1"/>
      <c r="E676" s="49" t="s">
        <v>40</v>
      </c>
      <c r="F676" s="50">
        <f>SUM(Table41014181728303216313435374145495153106[MONTO TOTAL ESTIMADO])</f>
        <v>498000</v>
      </c>
    </row>
    <row r="678" spans="1:6" ht="15.75" thickBot="1" x14ac:dyDescent="0.3"/>
    <row r="679" spans="1:6" ht="45.75" thickBot="1" x14ac:dyDescent="0.3">
      <c r="A679" s="37" t="s">
        <v>41</v>
      </c>
      <c r="B679" s="37" t="s">
        <v>42</v>
      </c>
      <c r="C679" s="37" t="s">
        <v>43</v>
      </c>
      <c r="D679" s="37" t="s">
        <v>44</v>
      </c>
      <c r="E679" s="37" t="s">
        <v>45</v>
      </c>
      <c r="F679" s="37" t="s">
        <v>46</v>
      </c>
    </row>
    <row r="680" spans="1:6" ht="30.75" thickBot="1" x14ac:dyDescent="0.3">
      <c r="A680" s="32" t="s">
        <v>207</v>
      </c>
      <c r="B680" s="47" t="s">
        <v>207</v>
      </c>
      <c r="C680" s="33" t="s">
        <v>64</v>
      </c>
      <c r="D680" s="32" t="s">
        <v>184</v>
      </c>
      <c r="E680" s="33" t="s">
        <v>51</v>
      </c>
      <c r="F680" s="33"/>
    </row>
    <row r="681" spans="1:6" ht="15.75" thickBot="1" x14ac:dyDescent="0.3">
      <c r="A681" s="126" t="s">
        <v>16</v>
      </c>
      <c r="B681" s="20" t="s">
        <v>17</v>
      </c>
      <c r="C681" s="21">
        <v>45062</v>
      </c>
      <c r="D681" s="126" t="s">
        <v>18</v>
      </c>
      <c r="E681" s="22" t="s">
        <v>19</v>
      </c>
      <c r="F681" s="23" t="s">
        <v>20</v>
      </c>
    </row>
    <row r="682" spans="1:6" ht="15.75" thickBot="1" x14ac:dyDescent="0.3">
      <c r="A682" s="127"/>
      <c r="B682" s="20" t="s">
        <v>21</v>
      </c>
      <c r="C682" s="20">
        <v>2</v>
      </c>
      <c r="D682" s="127"/>
      <c r="E682" s="22" t="s">
        <v>22</v>
      </c>
      <c r="F682" s="23" t="s">
        <v>23</v>
      </c>
    </row>
    <row r="683" spans="1:6" ht="15.75" thickBot="1" x14ac:dyDescent="0.3">
      <c r="A683" s="127"/>
      <c r="B683" s="20" t="s">
        <v>24</v>
      </c>
      <c r="C683" s="21">
        <v>45071</v>
      </c>
      <c r="D683" s="127"/>
      <c r="E683" s="22" t="s">
        <v>25</v>
      </c>
      <c r="F683" s="23"/>
    </row>
    <row r="684" spans="1:6" ht="15.75" thickBot="1" x14ac:dyDescent="0.3">
      <c r="A684" s="127"/>
      <c r="B684" s="20" t="s">
        <v>21</v>
      </c>
      <c r="C684" s="20">
        <v>2</v>
      </c>
      <c r="D684" s="127"/>
      <c r="E684" s="22" t="s">
        <v>26</v>
      </c>
      <c r="F684" s="23"/>
    </row>
    <row r="685" spans="1:6" ht="17.25" thickBot="1" x14ac:dyDescent="0.3">
      <c r="A685" s="1"/>
      <c r="B685" s="1"/>
      <c r="C685" s="1"/>
      <c r="D685" s="1"/>
      <c r="E685" s="1"/>
      <c r="F685" s="1"/>
    </row>
    <row r="686" spans="1:6" x14ac:dyDescent="0.25">
      <c r="A686" s="45" t="s">
        <v>27</v>
      </c>
      <c r="B686" s="45" t="s">
        <v>28</v>
      </c>
      <c r="C686" s="45" t="s">
        <v>29</v>
      </c>
      <c r="D686" s="45" t="s">
        <v>30</v>
      </c>
      <c r="E686" s="45" t="s">
        <v>31</v>
      </c>
      <c r="F686" s="45" t="s">
        <v>32</v>
      </c>
    </row>
    <row r="687" spans="1:6" x14ac:dyDescent="0.25">
      <c r="A687" s="46">
        <v>84131503</v>
      </c>
      <c r="B687" s="58" t="s">
        <v>208</v>
      </c>
      <c r="C687" s="26" t="s">
        <v>68</v>
      </c>
      <c r="D687" s="25">
        <v>1</v>
      </c>
      <c r="E687" s="27">
        <v>90000</v>
      </c>
      <c r="F687" s="28">
        <f>+Table4101418172830321631343537414549515355108[[#This Row],[PRECIO UNITARIO ESTIMADO]]*Table4101418172830321631343537414549515355108[[#This Row],[CANTIDAD TOTAL ESTIMADA]]</f>
        <v>90000</v>
      </c>
    </row>
    <row r="688" spans="1:6" x14ac:dyDescent="0.25">
      <c r="A688" s="46">
        <v>84131503</v>
      </c>
      <c r="B688" s="58" t="s">
        <v>209</v>
      </c>
      <c r="C688" s="26" t="s">
        <v>68</v>
      </c>
      <c r="D688" s="25">
        <v>1</v>
      </c>
      <c r="E688" s="27">
        <v>90000</v>
      </c>
      <c r="F688" s="28">
        <f>+Table4101418172830321631343537414549515355108[[#This Row],[PRECIO UNITARIO ESTIMADO]]*Table4101418172830321631343537414549515355108[[#This Row],[CANTIDAD TOTAL ESTIMADA]]</f>
        <v>90000</v>
      </c>
    </row>
    <row r="689" spans="1:6" x14ac:dyDescent="0.25">
      <c r="A689" s="46">
        <v>84131503</v>
      </c>
      <c r="B689" s="58" t="s">
        <v>210</v>
      </c>
      <c r="C689" s="26" t="s">
        <v>68</v>
      </c>
      <c r="D689" s="25">
        <v>1</v>
      </c>
      <c r="E689" s="27">
        <v>10000</v>
      </c>
      <c r="F689" s="28">
        <f>+Table4101418172830321631343537414549515355108[[#This Row],[PRECIO UNITARIO ESTIMADO]]*Table4101418172830321631343537414549515355108[[#This Row],[CANTIDAD TOTAL ESTIMADA]]</f>
        <v>10000</v>
      </c>
    </row>
    <row r="690" spans="1:6" x14ac:dyDescent="0.25">
      <c r="A690" s="46">
        <v>84131503</v>
      </c>
      <c r="B690" s="58" t="s">
        <v>211</v>
      </c>
      <c r="C690" s="26" t="s">
        <v>68</v>
      </c>
      <c r="D690" s="25">
        <v>1</v>
      </c>
      <c r="E690" s="27">
        <v>4000</v>
      </c>
      <c r="F690" s="28">
        <f>+Table4101418172830321631343537414549515355108[[#This Row],[PRECIO UNITARIO ESTIMADO]]*Table4101418172830321631343537414549515355108[[#This Row],[CANTIDAD TOTAL ESTIMADA]]</f>
        <v>4000</v>
      </c>
    </row>
    <row r="691" spans="1:6" x14ac:dyDescent="0.25">
      <c r="A691" s="46">
        <v>84131503</v>
      </c>
      <c r="B691" s="58" t="s">
        <v>212</v>
      </c>
      <c r="C691" s="26" t="s">
        <v>68</v>
      </c>
      <c r="D691" s="25">
        <v>1</v>
      </c>
      <c r="E691" s="27">
        <v>4000</v>
      </c>
      <c r="F691" s="28">
        <f>+Table4101418172830321631343537414549515355108[[#This Row],[PRECIO UNITARIO ESTIMADO]]*Table4101418172830321631343537414549515355108[[#This Row],[CANTIDAD TOTAL ESTIMADA]]</f>
        <v>4000</v>
      </c>
    </row>
    <row r="692" spans="1:6" x14ac:dyDescent="0.25">
      <c r="A692" s="46"/>
      <c r="B692" s="58"/>
      <c r="C692" s="26"/>
      <c r="D692" s="65"/>
      <c r="E692" s="27"/>
      <c r="F692" s="28">
        <f>+Table4101418172830321631343537414549515355108[[#This Row],[PRECIO UNITARIO ESTIMADO]]*Table4101418172830321631343537414549515355108[[#This Row],[CANTIDAD TOTAL ESTIMADA]]</f>
        <v>0</v>
      </c>
    </row>
    <row r="693" spans="1:6" ht="16.5" x14ac:dyDescent="0.25">
      <c r="A693" s="1"/>
      <c r="B693" s="1"/>
      <c r="C693" s="1"/>
      <c r="D693" s="1"/>
      <c r="E693" s="49" t="s">
        <v>40</v>
      </c>
      <c r="F693" s="50">
        <f>SUM(F687:F691)</f>
        <v>198000</v>
      </c>
    </row>
    <row r="695" spans="1:6" ht="15.75" thickBot="1" x14ac:dyDescent="0.3"/>
    <row r="696" spans="1:6" ht="45.75" thickBot="1" x14ac:dyDescent="0.3">
      <c r="A696" s="37" t="s">
        <v>41</v>
      </c>
      <c r="B696" s="37" t="s">
        <v>42</v>
      </c>
      <c r="C696" s="37" t="s">
        <v>43</v>
      </c>
      <c r="D696" s="37" t="s">
        <v>44</v>
      </c>
      <c r="E696" s="37" t="s">
        <v>45</v>
      </c>
      <c r="F696" s="37" t="s">
        <v>46</v>
      </c>
    </row>
    <row r="697" spans="1:6" ht="60.75" thickBot="1" x14ac:dyDescent="0.3">
      <c r="A697" s="32" t="s">
        <v>213</v>
      </c>
      <c r="B697" s="47" t="s">
        <v>213</v>
      </c>
      <c r="C697" s="33" t="s">
        <v>64</v>
      </c>
      <c r="D697" s="32" t="s">
        <v>189</v>
      </c>
      <c r="E697" s="33" t="s">
        <v>51</v>
      </c>
      <c r="F697" s="33"/>
    </row>
    <row r="698" spans="1:6" ht="15.75" thickBot="1" x14ac:dyDescent="0.3">
      <c r="A698" s="126" t="s">
        <v>16</v>
      </c>
      <c r="B698" s="20" t="s">
        <v>17</v>
      </c>
      <c r="C698" s="21">
        <v>45062</v>
      </c>
      <c r="D698" s="126" t="s">
        <v>18</v>
      </c>
      <c r="E698" s="22" t="s">
        <v>19</v>
      </c>
      <c r="F698" s="23" t="s">
        <v>20</v>
      </c>
    </row>
    <row r="699" spans="1:6" ht="15.75" thickBot="1" x14ac:dyDescent="0.3">
      <c r="A699" s="127"/>
      <c r="B699" s="20" t="s">
        <v>21</v>
      </c>
      <c r="C699" s="20">
        <v>2</v>
      </c>
      <c r="D699" s="127"/>
      <c r="E699" s="22" t="s">
        <v>22</v>
      </c>
      <c r="F699" s="23" t="s">
        <v>23</v>
      </c>
    </row>
    <row r="700" spans="1:6" ht="15.75" thickBot="1" x14ac:dyDescent="0.3">
      <c r="A700" s="127"/>
      <c r="B700" s="20" t="s">
        <v>24</v>
      </c>
      <c r="C700" s="21">
        <v>45071</v>
      </c>
      <c r="D700" s="127"/>
      <c r="E700" s="22" t="s">
        <v>25</v>
      </c>
      <c r="F700" s="23"/>
    </row>
    <row r="701" spans="1:6" ht="15.75" thickBot="1" x14ac:dyDescent="0.3">
      <c r="A701" s="127"/>
      <c r="B701" s="20" t="s">
        <v>21</v>
      </c>
      <c r="C701" s="20">
        <v>2</v>
      </c>
      <c r="D701" s="127"/>
      <c r="E701" s="22" t="s">
        <v>26</v>
      </c>
      <c r="F701" s="23"/>
    </row>
    <row r="702" spans="1:6" ht="17.25" thickBot="1" x14ac:dyDescent="0.3">
      <c r="A702" s="1"/>
      <c r="B702" s="1"/>
      <c r="C702" s="1"/>
      <c r="D702" s="1"/>
      <c r="E702" s="1"/>
      <c r="F702" s="1"/>
    </row>
    <row r="703" spans="1:6" x14ac:dyDescent="0.25">
      <c r="A703" s="45" t="s">
        <v>27</v>
      </c>
      <c r="B703" s="45" t="s">
        <v>28</v>
      </c>
      <c r="C703" s="45" t="s">
        <v>29</v>
      </c>
      <c r="D703" s="45" t="s">
        <v>30</v>
      </c>
      <c r="E703" s="45" t="s">
        <v>31</v>
      </c>
      <c r="F703" s="45" t="s">
        <v>32</v>
      </c>
    </row>
    <row r="704" spans="1:6" x14ac:dyDescent="0.25">
      <c r="A704" s="46">
        <v>84131501</v>
      </c>
      <c r="B704" s="58" t="s">
        <v>214</v>
      </c>
      <c r="C704" s="26" t="s">
        <v>68</v>
      </c>
      <c r="D704" s="25">
        <v>1</v>
      </c>
      <c r="E704" s="27">
        <v>52518.8</v>
      </c>
      <c r="F704" s="28">
        <f>+Table410141817283032163134353741454951535559110[[#This Row],[PRECIO UNITARIO ESTIMADO]]*Table410141817283032163134353741454951535559110[[#This Row],[CANTIDAD TOTAL ESTIMADA]]</f>
        <v>52518.8</v>
      </c>
    </row>
    <row r="705" spans="1:6" x14ac:dyDescent="0.25">
      <c r="A705" s="46">
        <v>84131501</v>
      </c>
      <c r="B705" s="58" t="s">
        <v>215</v>
      </c>
      <c r="C705" s="26" t="s">
        <v>68</v>
      </c>
      <c r="D705" s="25">
        <v>1</v>
      </c>
      <c r="E705" s="27">
        <v>18139</v>
      </c>
      <c r="F705" s="28">
        <f>+Table410141817283032163134353741454951535559110[[#This Row],[PRECIO UNITARIO ESTIMADO]]*Table410141817283032163134353741454951535559110[[#This Row],[CANTIDAD TOTAL ESTIMADA]]</f>
        <v>18139</v>
      </c>
    </row>
    <row r="706" spans="1:6" x14ac:dyDescent="0.25">
      <c r="A706" s="46">
        <v>84131501</v>
      </c>
      <c r="B706" s="58" t="s">
        <v>216</v>
      </c>
      <c r="C706" s="26" t="s">
        <v>68</v>
      </c>
      <c r="D706" s="25">
        <v>1</v>
      </c>
      <c r="E706" s="27">
        <v>22620</v>
      </c>
      <c r="F706" s="28">
        <f>+Table410141817283032163134353741454951535559110[[#This Row],[PRECIO UNITARIO ESTIMADO]]*Table410141817283032163134353741454951535559110[[#This Row],[CANTIDAD TOTAL ESTIMADA]]</f>
        <v>22620</v>
      </c>
    </row>
    <row r="707" spans="1:6" x14ac:dyDescent="0.25">
      <c r="A707" s="46">
        <v>84131501</v>
      </c>
      <c r="B707" s="58" t="s">
        <v>217</v>
      </c>
      <c r="C707" s="26" t="s">
        <v>68</v>
      </c>
      <c r="D707" s="25">
        <v>1</v>
      </c>
      <c r="E707" s="27">
        <v>6380</v>
      </c>
      <c r="F707" s="28">
        <f>+Table410141817283032163134353741454951535559110[[#This Row],[PRECIO UNITARIO ESTIMADO]]*Table410141817283032163134353741454951535559110[[#This Row],[CANTIDAD TOTAL ESTIMADA]]</f>
        <v>6380</v>
      </c>
    </row>
    <row r="708" spans="1:6" x14ac:dyDescent="0.25">
      <c r="A708" s="46"/>
      <c r="B708" s="58"/>
      <c r="C708" s="26"/>
      <c r="D708" s="65"/>
      <c r="E708" s="27"/>
      <c r="F708" s="28">
        <f>+Table410141817283032163134353741454951535559110[[#This Row],[PRECIO UNITARIO ESTIMADO]]*Table410141817283032163134353741454951535559110[[#This Row],[CANTIDAD TOTAL ESTIMADA]]</f>
        <v>0</v>
      </c>
    </row>
    <row r="709" spans="1:6" ht="16.5" x14ac:dyDescent="0.25">
      <c r="A709" s="1"/>
      <c r="B709" s="1"/>
      <c r="C709" s="1"/>
      <c r="D709" s="1"/>
      <c r="E709" s="49" t="s">
        <v>40</v>
      </c>
      <c r="F709" s="50">
        <f>SUM(F704:F707)</f>
        <v>99657.8</v>
      </c>
    </row>
    <row r="711" spans="1:6" ht="15.75" thickBot="1" x14ac:dyDescent="0.3"/>
    <row r="712" spans="1:6" ht="45.75" thickBot="1" x14ac:dyDescent="0.3">
      <c r="A712" s="37" t="s">
        <v>41</v>
      </c>
      <c r="B712" s="37" t="s">
        <v>42</v>
      </c>
      <c r="C712" s="37" t="s">
        <v>43</v>
      </c>
      <c r="D712" s="37" t="s">
        <v>44</v>
      </c>
      <c r="E712" s="37" t="s">
        <v>45</v>
      </c>
      <c r="F712" s="37" t="s">
        <v>46</v>
      </c>
    </row>
    <row r="713" spans="1:6" ht="30.75" thickBot="1" x14ac:dyDescent="0.3">
      <c r="A713" s="32" t="s">
        <v>218</v>
      </c>
      <c r="B713" s="47" t="s">
        <v>218</v>
      </c>
      <c r="C713" s="33" t="s">
        <v>64</v>
      </c>
      <c r="D713" s="32" t="s">
        <v>189</v>
      </c>
      <c r="E713" s="33" t="s">
        <v>51</v>
      </c>
      <c r="F713" s="33"/>
    </row>
    <row r="714" spans="1:6" ht="15.75" thickBot="1" x14ac:dyDescent="0.3">
      <c r="A714" s="123" t="s">
        <v>16</v>
      </c>
      <c r="B714" s="20" t="s">
        <v>17</v>
      </c>
      <c r="C714" s="21">
        <v>45146</v>
      </c>
      <c r="D714" s="123" t="s">
        <v>18</v>
      </c>
      <c r="E714" s="22" t="s">
        <v>19</v>
      </c>
      <c r="F714" s="23" t="s">
        <v>20</v>
      </c>
    </row>
    <row r="715" spans="1:6" ht="15.75" thickBot="1" x14ac:dyDescent="0.3">
      <c r="A715" s="124"/>
      <c r="B715" s="20" t="s">
        <v>21</v>
      </c>
      <c r="C715" s="20">
        <v>3</v>
      </c>
      <c r="D715" s="124"/>
      <c r="E715" s="22" t="s">
        <v>22</v>
      </c>
      <c r="F715" s="23" t="s">
        <v>23</v>
      </c>
    </row>
    <row r="716" spans="1:6" ht="15.75" thickBot="1" x14ac:dyDescent="0.3">
      <c r="A716" s="124"/>
      <c r="B716" s="20" t="s">
        <v>24</v>
      </c>
      <c r="C716" s="21">
        <v>45146</v>
      </c>
      <c r="D716" s="124"/>
      <c r="E716" s="22" t="s">
        <v>25</v>
      </c>
      <c r="F716" s="23"/>
    </row>
    <row r="717" spans="1:6" ht="15.75" thickBot="1" x14ac:dyDescent="0.3">
      <c r="A717" s="125"/>
      <c r="B717" s="20" t="s">
        <v>21</v>
      </c>
      <c r="C717" s="20">
        <v>3</v>
      </c>
      <c r="D717" s="125"/>
      <c r="E717" s="22" t="s">
        <v>26</v>
      </c>
      <c r="F717" s="23"/>
    </row>
    <row r="718" spans="1:6" ht="17.25" thickBot="1" x14ac:dyDescent="0.3">
      <c r="A718" s="1"/>
      <c r="B718" s="1"/>
      <c r="C718" s="1"/>
      <c r="D718" s="1"/>
      <c r="E718" s="1"/>
      <c r="F718" s="1"/>
    </row>
    <row r="719" spans="1:6" x14ac:dyDescent="0.25">
      <c r="A719" s="45" t="s">
        <v>27</v>
      </c>
      <c r="B719" s="45" t="s">
        <v>28</v>
      </c>
      <c r="C719" s="45" t="s">
        <v>29</v>
      </c>
      <c r="D719" s="45" t="s">
        <v>30</v>
      </c>
      <c r="E719" s="45" t="s">
        <v>31</v>
      </c>
      <c r="F719" s="45" t="s">
        <v>32</v>
      </c>
    </row>
    <row r="720" spans="1:6" x14ac:dyDescent="0.25">
      <c r="A720" s="46">
        <v>81112102</v>
      </c>
      <c r="B720" s="58" t="s">
        <v>219</v>
      </c>
      <c r="C720" s="26" t="s">
        <v>68</v>
      </c>
      <c r="D720" s="25">
        <v>1</v>
      </c>
      <c r="E720" s="27">
        <v>65000</v>
      </c>
      <c r="F720" s="28">
        <f>+Table4101418172830321631343537414549515355592229115[[#This Row],[PRECIO UNITARIO ESTIMADO]]*Table4101418172830321631343537414549515355592229115[[#This Row],[CANTIDAD TOTAL ESTIMADA]]</f>
        <v>65000</v>
      </c>
    </row>
    <row r="721" spans="1:6" x14ac:dyDescent="0.25">
      <c r="A721" s="46"/>
      <c r="B721" s="58"/>
      <c r="C721" s="26"/>
      <c r="D721" s="65"/>
      <c r="E721" s="27"/>
      <c r="F721" s="28">
        <f>+Table4101418172830321631343537414549515355592229115[[#This Row],[PRECIO UNITARIO ESTIMADO]]*Table4101418172830321631343537414549515355592229115[[#This Row],[CANTIDAD TOTAL ESTIMADA]]</f>
        <v>0</v>
      </c>
    </row>
    <row r="722" spans="1:6" ht="16.5" x14ac:dyDescent="0.25">
      <c r="A722" s="1"/>
      <c r="B722" s="1"/>
      <c r="C722" s="1"/>
      <c r="D722" s="1"/>
      <c r="E722" s="49" t="s">
        <v>40</v>
      </c>
      <c r="F722" s="50">
        <f>SUM(Table4101418172830321631343537414549515355592229115[MONTO TOTAL ESTIMADO])</f>
        <v>65000</v>
      </c>
    </row>
    <row r="723" spans="1:6" ht="15.75" thickBot="1" x14ac:dyDescent="0.3"/>
    <row r="724" spans="1:6" ht="45.75" thickBot="1" x14ac:dyDescent="0.3">
      <c r="A724" s="37" t="s">
        <v>41</v>
      </c>
      <c r="B724" s="37" t="s">
        <v>42</v>
      </c>
      <c r="C724" s="37" t="s">
        <v>43</v>
      </c>
      <c r="D724" s="37" t="s">
        <v>44</v>
      </c>
      <c r="E724" s="37" t="s">
        <v>45</v>
      </c>
      <c r="F724" s="37" t="s">
        <v>46</v>
      </c>
    </row>
    <row r="725" spans="1:6" ht="30.75" thickBot="1" x14ac:dyDescent="0.3">
      <c r="A725" s="32" t="s">
        <v>220</v>
      </c>
      <c r="B725" s="47" t="s">
        <v>221</v>
      </c>
      <c r="C725" s="33" t="s">
        <v>64</v>
      </c>
      <c r="D725" s="32" t="s">
        <v>189</v>
      </c>
      <c r="E725" s="33" t="s">
        <v>51</v>
      </c>
      <c r="F725" s="33"/>
    </row>
    <row r="726" spans="1:6" ht="15.75" thickBot="1" x14ac:dyDescent="0.3">
      <c r="A726" s="123" t="s">
        <v>16</v>
      </c>
      <c r="B726" s="20" t="s">
        <v>17</v>
      </c>
      <c r="C726" s="21">
        <v>45204</v>
      </c>
      <c r="D726" s="123" t="s">
        <v>18</v>
      </c>
      <c r="E726" s="22" t="s">
        <v>19</v>
      </c>
      <c r="F726" s="23" t="s">
        <v>20</v>
      </c>
    </row>
    <row r="727" spans="1:6" ht="15.75" thickBot="1" x14ac:dyDescent="0.3">
      <c r="A727" s="124"/>
      <c r="B727" s="20" t="s">
        <v>21</v>
      </c>
      <c r="C727" s="20">
        <v>4</v>
      </c>
      <c r="D727" s="124"/>
      <c r="E727" s="22" t="s">
        <v>22</v>
      </c>
      <c r="F727" s="23" t="s">
        <v>23</v>
      </c>
    </row>
    <row r="728" spans="1:6" ht="15.75" thickBot="1" x14ac:dyDescent="0.3">
      <c r="A728" s="124"/>
      <c r="B728" s="20" t="s">
        <v>24</v>
      </c>
      <c r="C728" s="21">
        <v>45071</v>
      </c>
      <c r="D728" s="124"/>
      <c r="E728" s="22" t="s">
        <v>25</v>
      </c>
      <c r="F728" s="23"/>
    </row>
    <row r="729" spans="1:6" ht="15.75" thickBot="1" x14ac:dyDescent="0.3">
      <c r="A729" s="125"/>
      <c r="B729" s="20" t="s">
        <v>21</v>
      </c>
      <c r="C729" s="20">
        <v>4</v>
      </c>
      <c r="D729" s="125"/>
      <c r="E729" s="22" t="s">
        <v>26</v>
      </c>
      <c r="F729" s="23"/>
    </row>
    <row r="730" spans="1:6" ht="17.25" thickBot="1" x14ac:dyDescent="0.3">
      <c r="A730" s="1"/>
      <c r="B730" s="1"/>
      <c r="C730" s="1"/>
      <c r="D730" s="1"/>
      <c r="E730" s="1"/>
      <c r="F730" s="1"/>
    </row>
    <row r="731" spans="1:6" x14ac:dyDescent="0.25">
      <c r="A731" s="45" t="s">
        <v>27</v>
      </c>
      <c r="B731" s="45" t="s">
        <v>28</v>
      </c>
      <c r="C731" s="45" t="s">
        <v>29</v>
      </c>
      <c r="D731" s="45" t="s">
        <v>30</v>
      </c>
      <c r="E731" s="45" t="s">
        <v>31</v>
      </c>
      <c r="F731" s="45" t="s">
        <v>32</v>
      </c>
    </row>
    <row r="732" spans="1:6" x14ac:dyDescent="0.25">
      <c r="A732" s="46">
        <v>43233205</v>
      </c>
      <c r="B732" s="58" t="s">
        <v>222</v>
      </c>
      <c r="C732" s="26" t="s">
        <v>68</v>
      </c>
      <c r="D732" s="25">
        <v>60</v>
      </c>
      <c r="E732" s="27">
        <v>1400</v>
      </c>
      <c r="F732" s="28">
        <f>+Table41014181728303216313435374145495153555922114[[#This Row],[PRECIO UNITARIO ESTIMADO]]*Table41014181728303216313435374145495153555922114[[#This Row],[CANTIDAD TOTAL ESTIMADA]]</f>
        <v>84000</v>
      </c>
    </row>
    <row r="733" spans="1:6" x14ac:dyDescent="0.25">
      <c r="A733" s="46"/>
      <c r="B733" s="58"/>
      <c r="C733" s="26"/>
      <c r="D733" s="65"/>
      <c r="E733" s="27"/>
      <c r="F733" s="28">
        <f>+Table41014181728303216313435374145495153555922114[[#This Row],[PRECIO UNITARIO ESTIMADO]]*Table41014181728303216313435374145495153555922114[[#This Row],[CANTIDAD TOTAL ESTIMADA]]</f>
        <v>0</v>
      </c>
    </row>
    <row r="734" spans="1:6" ht="16.5" x14ac:dyDescent="0.25">
      <c r="A734" s="1"/>
      <c r="B734" s="1"/>
      <c r="C734" s="1"/>
      <c r="D734" s="1"/>
      <c r="E734" s="49" t="s">
        <v>40</v>
      </c>
      <c r="F734" s="50">
        <f>SUM(Table41014181728303216313435374145495153555922114[MONTO TOTAL ESTIMADO])</f>
        <v>84000</v>
      </c>
    </row>
    <row r="735" spans="1:6" ht="15.75" thickBot="1" x14ac:dyDescent="0.3"/>
    <row r="736" spans="1:6" ht="45.75" thickBot="1" x14ac:dyDescent="0.3">
      <c r="A736" s="37" t="s">
        <v>41</v>
      </c>
      <c r="B736" s="37" t="s">
        <v>42</v>
      </c>
      <c r="C736" s="37" t="s">
        <v>43</v>
      </c>
      <c r="D736" s="37" t="s">
        <v>44</v>
      </c>
      <c r="E736" s="37" t="s">
        <v>45</v>
      </c>
      <c r="F736" s="37" t="s">
        <v>46</v>
      </c>
    </row>
    <row r="737" spans="1:7" ht="15.75" thickBot="1" x14ac:dyDescent="0.3">
      <c r="A737" s="32" t="s">
        <v>223</v>
      </c>
      <c r="B737" s="47" t="s">
        <v>223</v>
      </c>
      <c r="C737" s="33" t="s">
        <v>64</v>
      </c>
      <c r="D737" s="32" t="s">
        <v>184</v>
      </c>
      <c r="E737" s="33" t="s">
        <v>51</v>
      </c>
      <c r="F737" s="33"/>
    </row>
    <row r="738" spans="1:7" ht="15.75" thickBot="1" x14ac:dyDescent="0.3">
      <c r="A738" s="123" t="s">
        <v>16</v>
      </c>
      <c r="B738" s="20" t="s">
        <v>17</v>
      </c>
      <c r="C738" s="21">
        <v>45209</v>
      </c>
      <c r="D738" s="123" t="s">
        <v>18</v>
      </c>
      <c r="E738" s="22" t="s">
        <v>19</v>
      </c>
      <c r="F738" s="23" t="s">
        <v>20</v>
      </c>
    </row>
    <row r="739" spans="1:7" ht="15.75" thickBot="1" x14ac:dyDescent="0.3">
      <c r="A739" s="124"/>
      <c r="B739" s="20" t="s">
        <v>21</v>
      </c>
      <c r="C739" s="20">
        <v>4</v>
      </c>
      <c r="D739" s="124"/>
      <c r="E739" s="22" t="s">
        <v>22</v>
      </c>
      <c r="F739" s="23" t="s">
        <v>23</v>
      </c>
    </row>
    <row r="740" spans="1:7" ht="15.75" thickBot="1" x14ac:dyDescent="0.3">
      <c r="A740" s="124"/>
      <c r="B740" s="20" t="s">
        <v>24</v>
      </c>
      <c r="C740" s="21">
        <v>45209</v>
      </c>
      <c r="D740" s="124"/>
      <c r="E740" s="22" t="s">
        <v>25</v>
      </c>
      <c r="F740" s="23"/>
    </row>
    <row r="741" spans="1:7" ht="15.75" thickBot="1" x14ac:dyDescent="0.3">
      <c r="A741" s="125"/>
      <c r="B741" s="20" t="s">
        <v>21</v>
      </c>
      <c r="C741" s="20">
        <v>4</v>
      </c>
      <c r="D741" s="125"/>
      <c r="E741" s="22" t="s">
        <v>26</v>
      </c>
      <c r="F741" s="23"/>
    </row>
    <row r="742" spans="1:7" ht="17.25" thickBot="1" x14ac:dyDescent="0.3">
      <c r="A742" s="1"/>
      <c r="B742" s="1"/>
      <c r="C742" s="1"/>
      <c r="D742" s="1"/>
      <c r="E742" s="1"/>
      <c r="F742" s="1"/>
    </row>
    <row r="743" spans="1:7" x14ac:dyDescent="0.25">
      <c r="A743" s="45" t="s">
        <v>27</v>
      </c>
      <c r="B743" s="45" t="s">
        <v>28</v>
      </c>
      <c r="C743" s="45" t="s">
        <v>29</v>
      </c>
      <c r="D743" s="45" t="s">
        <v>30</v>
      </c>
      <c r="E743" s="45" t="s">
        <v>31</v>
      </c>
      <c r="F743" s="45" t="s">
        <v>32</v>
      </c>
    </row>
    <row r="744" spans="1:7" x14ac:dyDescent="0.25">
      <c r="A744" s="46">
        <v>43231512</v>
      </c>
      <c r="B744" s="58" t="s">
        <v>224</v>
      </c>
      <c r="C744" s="26" t="s">
        <v>68</v>
      </c>
      <c r="D744" s="25">
        <v>60</v>
      </c>
      <c r="E744" s="27">
        <v>7500</v>
      </c>
      <c r="F744" s="28">
        <f>+Table4101418172830321631343537414549515355592239116[[#This Row],[PRECIO UNITARIO ESTIMADO]]*Table4101418172830321631343537414549515355592239116[[#This Row],[CANTIDAD TOTAL ESTIMADA]]</f>
        <v>450000</v>
      </c>
    </row>
    <row r="745" spans="1:7" x14ac:dyDescent="0.25">
      <c r="A745" s="103">
        <v>43231512</v>
      </c>
      <c r="B745" s="99" t="s">
        <v>225</v>
      </c>
      <c r="C745" s="104" t="s">
        <v>68</v>
      </c>
      <c r="D745" s="65">
        <v>1</v>
      </c>
      <c r="E745" s="105">
        <v>60000</v>
      </c>
      <c r="F745" s="57">
        <f>+Table4101418172830321631343537414549515355592239116[[#This Row],[PRECIO UNITARIO ESTIMADO]]*Table4101418172830321631343537414549515355592239116[[#This Row],[CANTIDAD TOTAL ESTIMADA]]</f>
        <v>60000</v>
      </c>
    </row>
    <row r="746" spans="1:7" x14ac:dyDescent="0.25">
      <c r="A746" s="46">
        <v>43231512</v>
      </c>
      <c r="B746" s="58" t="s">
        <v>226</v>
      </c>
      <c r="C746" s="26" t="s">
        <v>68</v>
      </c>
      <c r="D746" s="65">
        <v>1</v>
      </c>
      <c r="E746" s="27">
        <v>9000</v>
      </c>
      <c r="F746" s="28">
        <f>+Table4101418172830321631343537414549515355592239116[[#This Row],[PRECIO UNITARIO ESTIMADO]]*Table4101418172830321631343537414549515355592239116[[#This Row],[CANTIDAD TOTAL ESTIMADA]]</f>
        <v>9000</v>
      </c>
    </row>
    <row r="747" spans="1:7" ht="16.5" x14ac:dyDescent="0.25">
      <c r="A747" s="1"/>
      <c r="B747" s="1"/>
      <c r="C747" s="1"/>
      <c r="D747" s="1"/>
      <c r="E747" s="49" t="s">
        <v>40</v>
      </c>
      <c r="F747" s="50">
        <f>SUM(Table4101418172830321631343537414549515355592239116[MONTO TOTAL ESTIMADO])</f>
        <v>519000</v>
      </c>
    </row>
    <row r="751" spans="1:7" ht="15.75" thickBot="1" x14ac:dyDescent="0.3"/>
    <row r="752" spans="1:7" ht="45.75" thickBot="1" x14ac:dyDescent="0.3">
      <c r="A752" s="37" t="s">
        <v>41</v>
      </c>
      <c r="B752" s="37" t="s">
        <v>42</v>
      </c>
      <c r="C752" s="37" t="s">
        <v>43</v>
      </c>
      <c r="D752" s="37" t="s">
        <v>44</v>
      </c>
      <c r="E752" s="37" t="s">
        <v>45</v>
      </c>
      <c r="F752" s="37" t="s">
        <v>46</v>
      </c>
      <c r="G752" s="110"/>
    </row>
    <row r="753" spans="1:6" ht="30.75" thickBot="1" x14ac:dyDescent="0.3">
      <c r="A753" s="32" t="s">
        <v>227</v>
      </c>
      <c r="B753" s="32" t="s">
        <v>227</v>
      </c>
      <c r="C753" s="33" t="s">
        <v>92</v>
      </c>
      <c r="D753" s="32" t="s">
        <v>189</v>
      </c>
      <c r="E753" s="33" t="s">
        <v>51</v>
      </c>
      <c r="F753" s="33"/>
    </row>
    <row r="754" spans="1:6" ht="15.75" thickBot="1" x14ac:dyDescent="0.3">
      <c r="A754" s="123" t="s">
        <v>16</v>
      </c>
      <c r="B754" s="20" t="s">
        <v>17</v>
      </c>
      <c r="C754" s="21">
        <v>45021</v>
      </c>
      <c r="D754" s="123" t="s">
        <v>18</v>
      </c>
      <c r="E754" s="22" t="s">
        <v>19</v>
      </c>
      <c r="F754" s="23" t="s">
        <v>20</v>
      </c>
    </row>
    <row r="755" spans="1:6" ht="15.75" thickBot="1" x14ac:dyDescent="0.3">
      <c r="A755" s="124"/>
      <c r="B755" s="20" t="s">
        <v>21</v>
      </c>
      <c r="C755" s="20">
        <v>2</v>
      </c>
      <c r="D755" s="124"/>
      <c r="E755" s="22" t="s">
        <v>22</v>
      </c>
      <c r="F755" s="23" t="s">
        <v>23</v>
      </c>
    </row>
    <row r="756" spans="1:6" ht="15.75" thickBot="1" x14ac:dyDescent="0.3">
      <c r="A756" s="124"/>
      <c r="B756" s="20" t="s">
        <v>24</v>
      </c>
      <c r="C756" s="21">
        <v>45041</v>
      </c>
      <c r="D756" s="124"/>
      <c r="E756" s="22" t="s">
        <v>25</v>
      </c>
      <c r="F756" s="23"/>
    </row>
    <row r="757" spans="1:6" ht="15.75" thickBot="1" x14ac:dyDescent="0.3">
      <c r="A757" s="125"/>
      <c r="B757" s="20" t="s">
        <v>21</v>
      </c>
      <c r="C757" s="20">
        <v>2</v>
      </c>
      <c r="D757" s="125"/>
      <c r="E757" s="22" t="s">
        <v>26</v>
      </c>
      <c r="F757" s="23"/>
    </row>
    <row r="758" spans="1:6" ht="17.25" thickBot="1" x14ac:dyDescent="0.3">
      <c r="A758" s="1"/>
      <c r="B758" s="1"/>
      <c r="C758" s="1"/>
      <c r="D758" s="1"/>
      <c r="E758" s="1"/>
      <c r="F758" s="1"/>
    </row>
    <row r="759" spans="1:6" x14ac:dyDescent="0.25">
      <c r="A759" s="45" t="s">
        <v>27</v>
      </c>
      <c r="B759" s="45" t="s">
        <v>28</v>
      </c>
      <c r="C759" s="45" t="s">
        <v>29</v>
      </c>
      <c r="D759" s="45" t="s">
        <v>30</v>
      </c>
      <c r="E759" s="45" t="s">
        <v>31</v>
      </c>
      <c r="F759" s="45" t="s">
        <v>32</v>
      </c>
    </row>
    <row r="760" spans="1:6" x14ac:dyDescent="0.25">
      <c r="A760" s="68">
        <v>31211508</v>
      </c>
      <c r="B760" s="111" t="s">
        <v>228</v>
      </c>
      <c r="C760" s="68" t="s">
        <v>68</v>
      </c>
      <c r="D760" s="68">
        <v>4</v>
      </c>
      <c r="E760" s="70">
        <v>9860</v>
      </c>
      <c r="F760" s="56">
        <f>+Table41014181728303216313435374145495153555922442743[[#This Row],[PRECIO UNITARIO ESTIMADO]]*Table41014181728303216313435374145495153555922442743[[#This Row],[CANTIDAD TOTAL ESTIMADA]]</f>
        <v>39440</v>
      </c>
    </row>
    <row r="761" spans="1:6" x14ac:dyDescent="0.25">
      <c r="A761" s="68">
        <v>31201605</v>
      </c>
      <c r="B761" s="71" t="s">
        <v>229</v>
      </c>
      <c r="C761" s="68" t="s">
        <v>68</v>
      </c>
      <c r="D761" s="68">
        <v>4</v>
      </c>
      <c r="E761" s="70">
        <v>600</v>
      </c>
      <c r="F761" s="56">
        <f>+Table41014181728303216313435374145495153555922442743[[#This Row],[PRECIO UNITARIO ESTIMADO]]*Table41014181728303216313435374145495153555922442743[[#This Row],[CANTIDAD TOTAL ESTIMADA]]</f>
        <v>2400</v>
      </c>
    </row>
    <row r="762" spans="1:6" x14ac:dyDescent="0.25">
      <c r="A762" s="68">
        <v>43202214</v>
      </c>
      <c r="B762" s="58" t="s">
        <v>308</v>
      </c>
      <c r="C762" s="68" t="s">
        <v>68</v>
      </c>
      <c r="D762" s="2">
        <v>10</v>
      </c>
      <c r="E762" s="70">
        <v>200</v>
      </c>
      <c r="F762" s="56">
        <f>+Table41014181728303216313435374145495153555922442743[[#This Row],[PRECIO UNITARIO ESTIMADO]]*Table41014181728303216313435374145495153555922442743[[#This Row],[CANTIDAD TOTAL ESTIMADA]]</f>
        <v>2000</v>
      </c>
    </row>
    <row r="763" spans="1:6" x14ac:dyDescent="0.25">
      <c r="A763" s="68">
        <v>30161901</v>
      </c>
      <c r="B763" s="58" t="s">
        <v>307</v>
      </c>
      <c r="C763" s="68" t="s">
        <v>68</v>
      </c>
      <c r="D763" s="2">
        <v>1</v>
      </c>
      <c r="E763" s="70">
        <v>7000</v>
      </c>
      <c r="F763" s="56">
        <f>+Table41014181728303216313435374145495153555922442743[[#This Row],[PRECIO UNITARIO ESTIMADO]]*Table41014181728303216313435374145495153555922442743[[#This Row],[CANTIDAD TOTAL ESTIMADA]]</f>
        <v>7000</v>
      </c>
    </row>
    <row r="764" spans="1:6" x14ac:dyDescent="0.25">
      <c r="A764" s="68">
        <v>43202214</v>
      </c>
      <c r="B764" s="58" t="s">
        <v>309</v>
      </c>
      <c r="C764" s="68" t="s">
        <v>68</v>
      </c>
      <c r="D764" s="2">
        <v>10</v>
      </c>
      <c r="E764" s="70">
        <v>350</v>
      </c>
      <c r="F764" s="56">
        <f>+Table41014181728303216313435374145495153555922442743[[#This Row],[PRECIO UNITARIO ESTIMADO]]*Table41014181728303216313435374145495153555922442743[[#This Row],[CANTIDAD TOTAL ESTIMADA]]</f>
        <v>3500</v>
      </c>
    </row>
    <row r="765" spans="1:6" x14ac:dyDescent="0.25">
      <c r="A765" s="68">
        <v>11101502</v>
      </c>
      <c r="B765" s="71" t="s">
        <v>230</v>
      </c>
      <c r="C765" s="68" t="s">
        <v>68</v>
      </c>
      <c r="D765" s="68">
        <v>5</v>
      </c>
      <c r="E765" s="70">
        <v>90</v>
      </c>
      <c r="F765" s="56">
        <f>+Table41014181728303216313435374145495153555922442743[[#This Row],[PRECIO UNITARIO ESTIMADO]]*Table41014181728303216313435374145495153555922442743[[#This Row],[CANTIDAD TOTAL ESTIMADA]]</f>
        <v>450</v>
      </c>
    </row>
    <row r="766" spans="1:6" x14ac:dyDescent="0.25">
      <c r="A766" s="68">
        <v>11101502</v>
      </c>
      <c r="B766" s="71" t="s">
        <v>231</v>
      </c>
      <c r="C766" s="68" t="s">
        <v>68</v>
      </c>
      <c r="D766" s="68">
        <v>20</v>
      </c>
      <c r="E766" s="70">
        <v>90</v>
      </c>
      <c r="F766" s="56">
        <f>+Table41014181728303216313435374145495153555922442743[[#This Row],[PRECIO UNITARIO ESTIMADO]]*Table41014181728303216313435374145495153555922442743[[#This Row],[CANTIDAD TOTAL ESTIMADA]]</f>
        <v>1800</v>
      </c>
    </row>
    <row r="767" spans="1:6" x14ac:dyDescent="0.25">
      <c r="A767" s="68">
        <v>31211906</v>
      </c>
      <c r="B767" s="71" t="s">
        <v>232</v>
      </c>
      <c r="C767" s="68" t="s">
        <v>68</v>
      </c>
      <c r="D767" s="68">
        <v>4</v>
      </c>
      <c r="E767" s="70">
        <v>150</v>
      </c>
      <c r="F767" s="56">
        <f>+Table41014181728303216313435374145495153555922442743[[#This Row],[PRECIO UNITARIO ESTIMADO]]*Table41014181728303216313435374145495153555922442743[[#This Row],[CANTIDAD TOTAL ESTIMADA]]</f>
        <v>600</v>
      </c>
    </row>
    <row r="768" spans="1:6" x14ac:dyDescent="0.25">
      <c r="A768" s="68">
        <v>27112601</v>
      </c>
      <c r="B768" s="71" t="s">
        <v>233</v>
      </c>
      <c r="C768" s="68" t="s">
        <v>68</v>
      </c>
      <c r="D768" s="68">
        <v>2</v>
      </c>
      <c r="E768" s="70">
        <v>280</v>
      </c>
      <c r="F768" s="56">
        <f>+Table41014181728303216313435374145495153555922442743[[#This Row],[PRECIO UNITARIO ESTIMADO]]*Table41014181728303216313435374145495153555922442743[[#This Row],[CANTIDAD TOTAL ESTIMADA]]</f>
        <v>560</v>
      </c>
    </row>
    <row r="769" spans="1:7" x14ac:dyDescent="0.25">
      <c r="A769" s="68">
        <v>11111807</v>
      </c>
      <c r="B769" s="71" t="s">
        <v>234</v>
      </c>
      <c r="C769" s="68" t="s">
        <v>68</v>
      </c>
      <c r="D769" s="68">
        <v>4</v>
      </c>
      <c r="E769" s="70">
        <v>420</v>
      </c>
      <c r="F769" s="56">
        <f>+Table41014181728303216313435374145495153555922442743[[#This Row],[PRECIO UNITARIO ESTIMADO]]*Table41014181728303216313435374145495153555922442743[[#This Row],[CANTIDAD TOTAL ESTIMADA]]</f>
        <v>1680</v>
      </c>
    </row>
    <row r="770" spans="1:7" ht="16.5" x14ac:dyDescent="0.25">
      <c r="A770" s="1"/>
      <c r="B770" s="1"/>
      <c r="C770" s="1"/>
      <c r="D770" s="1"/>
      <c r="E770" s="49" t="s">
        <v>40</v>
      </c>
      <c r="F770" s="50">
        <f>SUM(Table41014181728303216313435374145495153555922442743[MONTO TOTAL ESTIMADO])</f>
        <v>59430</v>
      </c>
    </row>
    <row r="772" spans="1:7" ht="15.75" thickBot="1" x14ac:dyDescent="0.3"/>
    <row r="773" spans="1:7" ht="45.75" thickBot="1" x14ac:dyDescent="0.3">
      <c r="A773" s="37" t="s">
        <v>41</v>
      </c>
      <c r="B773" s="37" t="s">
        <v>42</v>
      </c>
      <c r="C773" s="37" t="s">
        <v>43</v>
      </c>
      <c r="D773" s="37" t="s">
        <v>44</v>
      </c>
      <c r="E773" s="37" t="s">
        <v>45</v>
      </c>
      <c r="F773" s="37" t="s">
        <v>46</v>
      </c>
    </row>
    <row r="774" spans="1:7" ht="30.75" thickBot="1" x14ac:dyDescent="0.3">
      <c r="A774" s="32" t="s">
        <v>235</v>
      </c>
      <c r="B774" s="32" t="s">
        <v>236</v>
      </c>
      <c r="C774" s="33" t="s">
        <v>237</v>
      </c>
      <c r="D774" s="32" t="s">
        <v>238</v>
      </c>
      <c r="E774" s="33" t="s">
        <v>51</v>
      </c>
      <c r="F774" s="33"/>
    </row>
    <row r="775" spans="1:7" ht="15.75" thickBot="1" x14ac:dyDescent="0.3">
      <c r="A775" s="123" t="s">
        <v>16</v>
      </c>
      <c r="B775" s="20" t="s">
        <v>17</v>
      </c>
      <c r="C775" s="21">
        <v>45021</v>
      </c>
      <c r="D775" s="123" t="s">
        <v>18</v>
      </c>
      <c r="E775" s="22" t="s">
        <v>19</v>
      </c>
      <c r="F775" s="23" t="s">
        <v>20</v>
      </c>
    </row>
    <row r="776" spans="1:7" ht="15.75" thickBot="1" x14ac:dyDescent="0.3">
      <c r="A776" s="124"/>
      <c r="B776" s="20" t="s">
        <v>21</v>
      </c>
      <c r="C776" s="20">
        <v>2</v>
      </c>
      <c r="D776" s="124"/>
      <c r="E776" s="22" t="s">
        <v>22</v>
      </c>
      <c r="F776" s="23" t="s">
        <v>23</v>
      </c>
    </row>
    <row r="777" spans="1:7" ht="15.75" thickBot="1" x14ac:dyDescent="0.3">
      <c r="A777" s="124"/>
      <c r="B777" s="20" t="s">
        <v>24</v>
      </c>
      <c r="C777" s="21">
        <v>45041</v>
      </c>
      <c r="D777" s="124"/>
      <c r="E777" s="22" t="s">
        <v>25</v>
      </c>
      <c r="F777" s="23"/>
    </row>
    <row r="778" spans="1:7" ht="15.75" thickBot="1" x14ac:dyDescent="0.3">
      <c r="A778" s="125"/>
      <c r="B778" s="20" t="s">
        <v>21</v>
      </c>
      <c r="C778" s="20">
        <v>2</v>
      </c>
      <c r="D778" s="125"/>
      <c r="E778" s="22" t="s">
        <v>26</v>
      </c>
      <c r="F778" s="23"/>
    </row>
    <row r="779" spans="1:7" ht="17.25" thickBot="1" x14ac:dyDescent="0.3">
      <c r="A779" s="1"/>
      <c r="B779" s="1"/>
      <c r="C779" s="1"/>
      <c r="D779" s="1"/>
      <c r="E779" s="1"/>
      <c r="F779" s="1"/>
    </row>
    <row r="780" spans="1:7" x14ac:dyDescent="0.25">
      <c r="A780" s="45" t="s">
        <v>27</v>
      </c>
      <c r="B780" s="45" t="s">
        <v>28</v>
      </c>
      <c r="C780" s="45" t="s">
        <v>29</v>
      </c>
      <c r="D780" s="45" t="s">
        <v>30</v>
      </c>
      <c r="E780" s="45" t="s">
        <v>31</v>
      </c>
      <c r="F780" s="45" t="s">
        <v>32</v>
      </c>
    </row>
    <row r="781" spans="1:7" x14ac:dyDescent="0.25">
      <c r="A781" s="68">
        <v>90101603</v>
      </c>
      <c r="B781" s="69" t="s">
        <v>239</v>
      </c>
      <c r="C781" s="68" t="s">
        <v>68</v>
      </c>
      <c r="D781" s="68">
        <v>1</v>
      </c>
      <c r="E781" s="70">
        <v>8000</v>
      </c>
      <c r="F781" s="56">
        <f>Table4101418172830321631343537414549515355592244274346[[#This Row],[CANTIDAD TOTAL ESTIMADA]]*Table4101418172830321631343537414549515355592244274346[[#This Row],[PRECIO UNITARIO ESTIMADO]]</f>
        <v>8000</v>
      </c>
    </row>
    <row r="782" spans="1:7" ht="16.5" x14ac:dyDescent="0.25">
      <c r="A782" s="1"/>
      <c r="B782" s="1"/>
      <c r="C782" s="1"/>
      <c r="D782" s="1"/>
      <c r="E782" s="49" t="s">
        <v>40</v>
      </c>
      <c r="F782" s="50">
        <f>F781</f>
        <v>8000</v>
      </c>
    </row>
    <row r="783" spans="1:7" ht="15.75" thickBot="1" x14ac:dyDescent="0.3"/>
    <row r="784" spans="1:7" ht="45.75" thickBot="1" x14ac:dyDescent="0.3">
      <c r="A784" s="37" t="s">
        <v>41</v>
      </c>
      <c r="B784" s="37" t="s">
        <v>42</v>
      </c>
      <c r="C784" s="37" t="s">
        <v>43</v>
      </c>
      <c r="D784" s="37" t="s">
        <v>44</v>
      </c>
      <c r="E784" s="37" t="s">
        <v>45</v>
      </c>
      <c r="F784" s="37" t="s">
        <v>46</v>
      </c>
      <c r="G784" s="110"/>
    </row>
    <row r="785" spans="1:6" ht="30.75" thickBot="1" x14ac:dyDescent="0.3">
      <c r="A785" s="32" t="s">
        <v>240</v>
      </c>
      <c r="B785" s="32" t="s">
        <v>240</v>
      </c>
      <c r="C785" s="33" t="s">
        <v>92</v>
      </c>
      <c r="D785" s="32" t="s">
        <v>238</v>
      </c>
      <c r="E785" s="33" t="s">
        <v>51</v>
      </c>
      <c r="F785" s="33"/>
    </row>
    <row r="786" spans="1:6" ht="15.75" thickBot="1" x14ac:dyDescent="0.3">
      <c r="A786" s="123" t="s">
        <v>16</v>
      </c>
      <c r="B786" s="20" t="s">
        <v>17</v>
      </c>
      <c r="C786" s="21">
        <v>44962</v>
      </c>
      <c r="D786" s="123" t="s">
        <v>18</v>
      </c>
      <c r="E786" s="22" t="s">
        <v>19</v>
      </c>
      <c r="F786" s="23" t="s">
        <v>20</v>
      </c>
    </row>
    <row r="787" spans="1:6" ht="15.75" thickBot="1" x14ac:dyDescent="0.3">
      <c r="A787" s="124"/>
      <c r="B787" s="20" t="s">
        <v>21</v>
      </c>
      <c r="C787" s="20">
        <v>2</v>
      </c>
      <c r="D787" s="124"/>
      <c r="E787" s="22" t="s">
        <v>22</v>
      </c>
      <c r="F787" s="23" t="s">
        <v>23</v>
      </c>
    </row>
    <row r="788" spans="1:6" ht="15.75" thickBot="1" x14ac:dyDescent="0.3">
      <c r="A788" s="124"/>
      <c r="B788" s="20" t="s">
        <v>24</v>
      </c>
      <c r="C788" s="21">
        <v>44982</v>
      </c>
      <c r="D788" s="124"/>
      <c r="E788" s="22" t="s">
        <v>25</v>
      </c>
      <c r="F788" s="23"/>
    </row>
    <row r="789" spans="1:6" ht="15.75" thickBot="1" x14ac:dyDescent="0.3">
      <c r="A789" s="125"/>
      <c r="B789" s="20" t="s">
        <v>21</v>
      </c>
      <c r="C789" s="20">
        <v>1</v>
      </c>
      <c r="D789" s="125"/>
      <c r="E789" s="22" t="s">
        <v>26</v>
      </c>
      <c r="F789" s="23"/>
    </row>
    <row r="790" spans="1:6" ht="17.25" thickBot="1" x14ac:dyDescent="0.3">
      <c r="A790" s="1"/>
      <c r="B790" s="1"/>
      <c r="C790" s="1"/>
      <c r="D790" s="1"/>
      <c r="E790" s="1"/>
      <c r="F790" s="1"/>
    </row>
    <row r="791" spans="1:6" x14ac:dyDescent="0.25">
      <c r="A791" s="45" t="s">
        <v>27</v>
      </c>
      <c r="B791" s="45" t="s">
        <v>28</v>
      </c>
      <c r="C791" s="45" t="s">
        <v>29</v>
      </c>
      <c r="D791" s="45" t="s">
        <v>30</v>
      </c>
      <c r="E791" s="45" t="s">
        <v>31</v>
      </c>
      <c r="F791" s="45" t="s">
        <v>32</v>
      </c>
    </row>
    <row r="792" spans="1:6" x14ac:dyDescent="0.25">
      <c r="A792" s="68">
        <v>55121804</v>
      </c>
      <c r="B792" s="72" t="s">
        <v>241</v>
      </c>
      <c r="C792" s="68" t="s">
        <v>68</v>
      </c>
      <c r="D792" s="70">
        <v>30</v>
      </c>
      <c r="E792" s="70">
        <v>200</v>
      </c>
      <c r="F792" s="56">
        <f>Table410141817283032163134353741454951535559224427434648[[#This Row],[PRECIO UNITARIO ESTIMADO]]*Table410141817283032163134353741454951535559224427434648[[#This Row],[CANTIDAD TOTAL ESTIMADA]]</f>
        <v>6000</v>
      </c>
    </row>
    <row r="793" spans="1:6" x14ac:dyDescent="0.25">
      <c r="A793" s="68">
        <v>55121807</v>
      </c>
      <c r="B793" s="73" t="s">
        <v>242</v>
      </c>
      <c r="C793" s="68" t="s">
        <v>68</v>
      </c>
      <c r="D793" s="70">
        <v>30</v>
      </c>
      <c r="E793" s="70">
        <v>150</v>
      </c>
      <c r="F793" s="56">
        <f>Table410141817283032163134353741454951535559224427434648[[#This Row],[CANTIDAD TOTAL ESTIMADA]]*Table410141817283032163134353741454951535559224427434648[[#This Row],[PRECIO UNITARIO ESTIMADO]]</f>
        <v>4500</v>
      </c>
    </row>
    <row r="794" spans="1:6" x14ac:dyDescent="0.25">
      <c r="A794" s="68" t="s">
        <v>243</v>
      </c>
      <c r="B794" s="72" t="s">
        <v>244</v>
      </c>
      <c r="C794" s="68" t="s">
        <v>68</v>
      </c>
      <c r="D794" s="68">
        <v>30</v>
      </c>
      <c r="E794" s="70">
        <v>150</v>
      </c>
      <c r="F794" s="56">
        <f>Table410141817283032163134353741454951535559224427434648[[#This Row],[CANTIDAD TOTAL ESTIMADA]]*Table410141817283032163134353741454951535559224427434648[[#This Row],[PRECIO UNITARIO ESTIMADO]]</f>
        <v>4500</v>
      </c>
    </row>
    <row r="795" spans="1:6" ht="16.5" x14ac:dyDescent="0.25">
      <c r="A795" s="1"/>
      <c r="B795" s="1"/>
      <c r="C795" s="1"/>
      <c r="D795" s="1"/>
      <c r="E795" s="49" t="s">
        <v>40</v>
      </c>
      <c r="F795" s="50">
        <f>SUM(F792:F794)</f>
        <v>15000</v>
      </c>
    </row>
    <row r="796" spans="1:6" ht="15.75" thickBot="1" x14ac:dyDescent="0.3"/>
    <row r="797" spans="1:6" ht="45.75" thickBot="1" x14ac:dyDescent="0.3">
      <c r="A797" s="37" t="s">
        <v>41</v>
      </c>
      <c r="B797" s="37" t="s">
        <v>42</v>
      </c>
      <c r="C797" s="37" t="s">
        <v>43</v>
      </c>
      <c r="D797" s="37" t="s">
        <v>44</v>
      </c>
      <c r="E797" s="37" t="s">
        <v>45</v>
      </c>
      <c r="F797" s="37" t="s">
        <v>46</v>
      </c>
    </row>
    <row r="798" spans="1:6" ht="30.75" thickBot="1" x14ac:dyDescent="0.3">
      <c r="A798" s="32" t="s">
        <v>341</v>
      </c>
      <c r="B798" s="32" t="s">
        <v>341</v>
      </c>
      <c r="C798" s="33" t="s">
        <v>92</v>
      </c>
      <c r="D798" s="32" t="s">
        <v>338</v>
      </c>
      <c r="E798" s="33" t="s">
        <v>51</v>
      </c>
      <c r="F798" s="33"/>
    </row>
    <row r="799" spans="1:6" ht="15.75" thickBot="1" x14ac:dyDescent="0.3">
      <c r="A799" s="123" t="s">
        <v>16</v>
      </c>
      <c r="B799" s="20" t="s">
        <v>17</v>
      </c>
      <c r="C799" s="21">
        <v>44993</v>
      </c>
      <c r="D799" s="123" t="s">
        <v>18</v>
      </c>
      <c r="E799" s="22" t="s">
        <v>19</v>
      </c>
      <c r="F799" s="23" t="s">
        <v>20</v>
      </c>
    </row>
    <row r="800" spans="1:6" ht="15.75" thickBot="1" x14ac:dyDescent="0.3">
      <c r="A800" s="124"/>
      <c r="B800" s="20" t="s">
        <v>21</v>
      </c>
      <c r="C800" s="20">
        <v>2</v>
      </c>
      <c r="D800" s="124"/>
      <c r="E800" s="22" t="s">
        <v>22</v>
      </c>
      <c r="F800" s="23" t="s">
        <v>23</v>
      </c>
    </row>
    <row r="801" spans="1:7" ht="15.75" thickBot="1" x14ac:dyDescent="0.3">
      <c r="A801" s="124"/>
      <c r="B801" s="20" t="s">
        <v>24</v>
      </c>
      <c r="C801" s="21">
        <v>45010</v>
      </c>
      <c r="D801" s="124"/>
      <c r="E801" s="22" t="s">
        <v>25</v>
      </c>
      <c r="F801" s="23"/>
      <c r="G801" s="110"/>
    </row>
    <row r="802" spans="1:7" ht="15.75" thickBot="1" x14ac:dyDescent="0.3">
      <c r="A802" s="125"/>
      <c r="B802" s="20" t="s">
        <v>21</v>
      </c>
      <c r="C802" s="20">
        <v>2</v>
      </c>
      <c r="D802" s="125"/>
      <c r="E802" s="22" t="s">
        <v>26</v>
      </c>
      <c r="F802" s="23"/>
    </row>
    <row r="803" spans="1:7" ht="17.25" thickBot="1" x14ac:dyDescent="0.3">
      <c r="A803" s="1"/>
      <c r="B803" s="1"/>
      <c r="C803" s="1"/>
      <c r="D803" s="1"/>
      <c r="E803" s="1"/>
      <c r="F803" s="1"/>
    </row>
    <row r="804" spans="1:7" x14ac:dyDescent="0.25">
      <c r="A804" s="45" t="s">
        <v>27</v>
      </c>
      <c r="B804" s="45" t="s">
        <v>28</v>
      </c>
      <c r="C804" s="45" t="s">
        <v>29</v>
      </c>
      <c r="D804" s="45" t="s">
        <v>30</v>
      </c>
      <c r="E804" s="45" t="s">
        <v>31</v>
      </c>
      <c r="F804" s="45" t="s">
        <v>32</v>
      </c>
    </row>
    <row r="805" spans="1:7" x14ac:dyDescent="0.25">
      <c r="A805" s="68" t="s">
        <v>246</v>
      </c>
      <c r="B805" s="72" t="s">
        <v>340</v>
      </c>
      <c r="C805" s="68" t="s">
        <v>68</v>
      </c>
      <c r="D805" s="70">
        <v>12</v>
      </c>
      <c r="E805" s="70">
        <v>3000</v>
      </c>
      <c r="F805" s="56">
        <f>Table41014181728303216313435374145495153555922442743464852[[#This Row],[PRECIO UNITARIO ESTIMADO]]*Table41014181728303216313435374145495153555922442743464852[[#This Row],[CANTIDAD TOTAL ESTIMADA]]</f>
        <v>36000</v>
      </c>
      <c r="G805" s="110"/>
    </row>
    <row r="806" spans="1:7" ht="16.5" x14ac:dyDescent="0.25">
      <c r="A806" s="1"/>
      <c r="B806" s="1"/>
      <c r="C806" s="1"/>
      <c r="D806" s="1"/>
      <c r="E806" s="49" t="s">
        <v>40</v>
      </c>
      <c r="F806" s="50">
        <f>SUM(F805:F805)</f>
        <v>36000</v>
      </c>
    </row>
    <row r="808" spans="1:7" ht="15.75" thickBot="1" x14ac:dyDescent="0.3"/>
    <row r="809" spans="1:7" ht="45.75" thickBot="1" x14ac:dyDescent="0.3">
      <c r="A809" s="37" t="s">
        <v>41</v>
      </c>
      <c r="B809" s="37" t="s">
        <v>42</v>
      </c>
      <c r="C809" s="37" t="s">
        <v>43</v>
      </c>
      <c r="D809" s="37" t="s">
        <v>44</v>
      </c>
      <c r="E809" s="37" t="s">
        <v>45</v>
      </c>
      <c r="F809" s="37" t="s">
        <v>46</v>
      </c>
    </row>
    <row r="810" spans="1:7" ht="30.75" thickBot="1" x14ac:dyDescent="0.3">
      <c r="A810" s="32" t="s">
        <v>325</v>
      </c>
      <c r="B810" s="106" t="s">
        <v>325</v>
      </c>
      <c r="C810" s="33" t="s">
        <v>237</v>
      </c>
      <c r="D810" s="32" t="s">
        <v>238</v>
      </c>
      <c r="E810" s="33" t="s">
        <v>51</v>
      </c>
      <c r="F810" s="33"/>
    </row>
    <row r="811" spans="1:7" ht="15.75" thickBot="1" x14ac:dyDescent="0.3">
      <c r="A811" s="123" t="s">
        <v>16</v>
      </c>
      <c r="B811" s="20" t="s">
        <v>17</v>
      </c>
      <c r="C811" s="21">
        <v>45047</v>
      </c>
      <c r="D811" s="123" t="s">
        <v>18</v>
      </c>
      <c r="E811" s="22" t="s">
        <v>19</v>
      </c>
      <c r="F811" s="23" t="s">
        <v>20</v>
      </c>
    </row>
    <row r="812" spans="1:7" ht="15.75" thickBot="1" x14ac:dyDescent="0.3">
      <c r="A812" s="124"/>
      <c r="B812" s="20" t="s">
        <v>21</v>
      </c>
      <c r="C812" s="20">
        <v>2</v>
      </c>
      <c r="D812" s="124"/>
      <c r="E812" s="22" t="s">
        <v>22</v>
      </c>
      <c r="F812" s="23" t="s">
        <v>23</v>
      </c>
    </row>
    <row r="813" spans="1:7" ht="15.75" thickBot="1" x14ac:dyDescent="0.3">
      <c r="A813" s="124"/>
      <c r="B813" s="20" t="s">
        <v>24</v>
      </c>
      <c r="C813" s="21">
        <v>45048</v>
      </c>
      <c r="D813" s="124"/>
      <c r="E813" s="22" t="s">
        <v>25</v>
      </c>
      <c r="F813" s="23"/>
    </row>
    <row r="814" spans="1:7" ht="15.75" thickBot="1" x14ac:dyDescent="0.3">
      <c r="A814" s="125"/>
      <c r="B814" s="20" t="s">
        <v>21</v>
      </c>
      <c r="C814" s="20">
        <v>2</v>
      </c>
      <c r="D814" s="125"/>
      <c r="E814" s="22" t="s">
        <v>26</v>
      </c>
      <c r="F814" s="23"/>
    </row>
    <row r="815" spans="1:7" ht="17.25" thickBot="1" x14ac:dyDescent="0.3">
      <c r="A815" s="1"/>
      <c r="B815" s="1"/>
      <c r="C815" s="1"/>
      <c r="D815" s="1"/>
      <c r="E815" s="1"/>
      <c r="F815" s="1"/>
    </row>
    <row r="816" spans="1:7" x14ac:dyDescent="0.25">
      <c r="A816" s="45" t="s">
        <v>27</v>
      </c>
      <c r="B816" s="45" t="s">
        <v>28</v>
      </c>
      <c r="C816" s="45" t="s">
        <v>29</v>
      </c>
      <c r="D816" s="45" t="s">
        <v>30</v>
      </c>
      <c r="E816" s="45" t="s">
        <v>31</v>
      </c>
      <c r="F816" s="45" t="s">
        <v>32</v>
      </c>
    </row>
    <row r="817" spans="1:7" x14ac:dyDescent="0.25">
      <c r="A817" s="68">
        <v>90101603</v>
      </c>
      <c r="B817" s="72" t="s">
        <v>323</v>
      </c>
      <c r="C817" s="68" t="s">
        <v>68</v>
      </c>
      <c r="D817" s="70">
        <v>60</v>
      </c>
      <c r="E817" s="70">
        <v>800</v>
      </c>
      <c r="F817" s="56">
        <f>Table410141817283032163134353741454951535559224427434648525462[[#This Row],[PRECIO UNITARIO ESTIMADO]]*Table410141817283032163134353741454951535559224427434648525462[[#This Row],[CANTIDAD TOTAL ESTIMADA]]</f>
        <v>48000</v>
      </c>
    </row>
    <row r="818" spans="1:7" ht="16.5" x14ac:dyDescent="0.25">
      <c r="A818" s="1"/>
      <c r="B818" s="1"/>
      <c r="C818" s="1"/>
      <c r="D818" s="1"/>
      <c r="E818" s="49" t="s">
        <v>40</v>
      </c>
      <c r="F818" s="50">
        <f>SUM(F817:F817)</f>
        <v>48000</v>
      </c>
    </row>
    <row r="820" spans="1:7" ht="15.75" thickBot="1" x14ac:dyDescent="0.3"/>
    <row r="821" spans="1:7" ht="45.75" thickBot="1" x14ac:dyDescent="0.3">
      <c r="A821" s="37" t="s">
        <v>41</v>
      </c>
      <c r="B821" s="37" t="s">
        <v>42</v>
      </c>
      <c r="C821" s="37" t="s">
        <v>43</v>
      </c>
      <c r="D821" s="37" t="s">
        <v>44</v>
      </c>
      <c r="E821" s="37" t="s">
        <v>45</v>
      </c>
      <c r="F821" s="37" t="s">
        <v>46</v>
      </c>
      <c r="G821" s="110"/>
    </row>
    <row r="822" spans="1:7" ht="30.75" thickBot="1" x14ac:dyDescent="0.3">
      <c r="A822" s="32" t="s">
        <v>248</v>
      </c>
      <c r="B822" s="32" t="s">
        <v>248</v>
      </c>
      <c r="C822" s="33" t="s">
        <v>247</v>
      </c>
      <c r="D822" s="32" t="s">
        <v>238</v>
      </c>
      <c r="E822" s="33" t="s">
        <v>51</v>
      </c>
      <c r="F822" s="33"/>
    </row>
    <row r="823" spans="1:7" ht="15.75" thickBot="1" x14ac:dyDescent="0.3">
      <c r="A823" s="123" t="s">
        <v>16</v>
      </c>
      <c r="B823" s="20" t="s">
        <v>17</v>
      </c>
      <c r="C823" s="21">
        <v>45021</v>
      </c>
      <c r="D823" s="123" t="s">
        <v>18</v>
      </c>
      <c r="E823" s="22" t="s">
        <v>19</v>
      </c>
      <c r="F823" s="23" t="s">
        <v>20</v>
      </c>
    </row>
    <row r="824" spans="1:7" ht="15.75" thickBot="1" x14ac:dyDescent="0.3">
      <c r="A824" s="124"/>
      <c r="B824" s="20" t="s">
        <v>21</v>
      </c>
      <c r="C824" s="20">
        <v>2</v>
      </c>
      <c r="D824" s="124"/>
      <c r="E824" s="22" t="s">
        <v>22</v>
      </c>
      <c r="F824" s="23" t="s">
        <v>23</v>
      </c>
    </row>
    <row r="825" spans="1:7" ht="15.75" thickBot="1" x14ac:dyDescent="0.3">
      <c r="A825" s="124"/>
      <c r="B825" s="20" t="s">
        <v>24</v>
      </c>
      <c r="C825" s="21">
        <v>45041</v>
      </c>
      <c r="D825" s="124"/>
      <c r="E825" s="22" t="s">
        <v>25</v>
      </c>
      <c r="F825" s="23"/>
    </row>
    <row r="826" spans="1:7" ht="15.75" thickBot="1" x14ac:dyDescent="0.3">
      <c r="A826" s="125"/>
      <c r="B826" s="20" t="s">
        <v>21</v>
      </c>
      <c r="C826" s="20">
        <v>2</v>
      </c>
      <c r="D826" s="125"/>
      <c r="E826" s="22" t="s">
        <v>26</v>
      </c>
      <c r="F826" s="23"/>
    </row>
    <row r="827" spans="1:7" ht="17.25" thickBot="1" x14ac:dyDescent="0.3">
      <c r="A827" s="1"/>
      <c r="B827" s="1"/>
      <c r="C827" s="1"/>
      <c r="D827" s="1"/>
      <c r="E827" s="1"/>
      <c r="F827" s="1"/>
    </row>
    <row r="828" spans="1:7" x14ac:dyDescent="0.25">
      <c r="A828" s="45" t="s">
        <v>27</v>
      </c>
      <c r="B828" s="45" t="s">
        <v>28</v>
      </c>
      <c r="C828" s="45" t="s">
        <v>29</v>
      </c>
      <c r="D828" s="45" t="s">
        <v>30</v>
      </c>
      <c r="E828" s="45" t="s">
        <v>31</v>
      </c>
      <c r="F828" s="45" t="s">
        <v>32</v>
      </c>
    </row>
    <row r="829" spans="1:7" x14ac:dyDescent="0.25">
      <c r="A829" s="68">
        <v>10161707</v>
      </c>
      <c r="B829" s="74" t="s">
        <v>249</v>
      </c>
      <c r="C829" s="68" t="s">
        <v>68</v>
      </c>
      <c r="D829" s="70">
        <v>2</v>
      </c>
      <c r="E829" s="70">
        <v>10000</v>
      </c>
      <c r="F829" s="56">
        <f>Table41014181728303216313435374145495153555922442743464852546263647172[[#This Row],[PRECIO UNITARIO ESTIMADO]]*Table41014181728303216313435374145495153555922442743464852546263647172[[#This Row],[CANTIDAD TOTAL ESTIMADA]]</f>
        <v>20000</v>
      </c>
    </row>
    <row r="830" spans="1:7" ht="16.5" x14ac:dyDescent="0.25">
      <c r="A830" s="1"/>
      <c r="B830" s="1"/>
      <c r="C830" s="1"/>
      <c r="D830" s="1"/>
      <c r="E830" s="49" t="s">
        <v>40</v>
      </c>
      <c r="F830" s="50">
        <f>SUM(F829:F829)</f>
        <v>20000</v>
      </c>
    </row>
    <row r="832" spans="1:7" ht="15.75" thickBot="1" x14ac:dyDescent="0.3"/>
    <row r="833" spans="1:6" ht="45.75" thickBot="1" x14ac:dyDescent="0.3">
      <c r="A833" s="37" t="s">
        <v>41</v>
      </c>
      <c r="B833" s="37" t="s">
        <v>42</v>
      </c>
      <c r="C833" s="37" t="s">
        <v>43</v>
      </c>
      <c r="D833" s="37" t="s">
        <v>44</v>
      </c>
      <c r="E833" s="37" t="s">
        <v>45</v>
      </c>
      <c r="F833" s="37" t="s">
        <v>46</v>
      </c>
    </row>
    <row r="834" spans="1:6" ht="15.75" thickBot="1" x14ac:dyDescent="0.3">
      <c r="A834" s="32" t="s">
        <v>250</v>
      </c>
      <c r="B834" s="32" t="s">
        <v>250</v>
      </c>
      <c r="C834" s="33" t="s">
        <v>251</v>
      </c>
      <c r="D834" s="32" t="s">
        <v>245</v>
      </c>
      <c r="E834" s="33" t="s">
        <v>51</v>
      </c>
      <c r="F834" s="33"/>
    </row>
    <row r="835" spans="1:6" ht="15.75" thickBot="1" x14ac:dyDescent="0.3">
      <c r="A835" s="123" t="s">
        <v>16</v>
      </c>
      <c r="B835" s="20" t="s">
        <v>17</v>
      </c>
      <c r="C835" s="21">
        <v>45265</v>
      </c>
      <c r="D835" s="123" t="s">
        <v>18</v>
      </c>
      <c r="E835" s="22" t="s">
        <v>19</v>
      </c>
      <c r="F835" s="23" t="s">
        <v>20</v>
      </c>
    </row>
    <row r="836" spans="1:6" ht="15.75" thickBot="1" x14ac:dyDescent="0.3">
      <c r="A836" s="124"/>
      <c r="B836" s="20" t="s">
        <v>21</v>
      </c>
      <c r="C836" s="20">
        <v>4</v>
      </c>
      <c r="D836" s="124"/>
      <c r="E836" s="22" t="s">
        <v>22</v>
      </c>
      <c r="F836" s="23" t="s">
        <v>23</v>
      </c>
    </row>
    <row r="837" spans="1:6" ht="15.75" thickBot="1" x14ac:dyDescent="0.3">
      <c r="A837" s="124"/>
      <c r="B837" s="20" t="s">
        <v>24</v>
      </c>
      <c r="C837" s="21">
        <v>45265</v>
      </c>
      <c r="D837" s="124"/>
      <c r="E837" s="22" t="s">
        <v>25</v>
      </c>
      <c r="F837" s="23"/>
    </row>
    <row r="838" spans="1:6" ht="15.75" thickBot="1" x14ac:dyDescent="0.3">
      <c r="A838" s="125"/>
      <c r="B838" s="20" t="s">
        <v>21</v>
      </c>
      <c r="C838" s="20">
        <v>4</v>
      </c>
      <c r="D838" s="125"/>
      <c r="E838" s="22" t="s">
        <v>26</v>
      </c>
      <c r="F838" s="23"/>
    </row>
    <row r="839" spans="1:6" ht="17.25" thickBot="1" x14ac:dyDescent="0.3">
      <c r="A839" s="1"/>
      <c r="B839" s="1"/>
      <c r="C839" s="1"/>
      <c r="D839" s="1"/>
      <c r="E839" s="1"/>
      <c r="F839" s="1"/>
    </row>
    <row r="840" spans="1:6" x14ac:dyDescent="0.25">
      <c r="A840" s="45" t="s">
        <v>27</v>
      </c>
      <c r="B840" s="45" t="s">
        <v>28</v>
      </c>
      <c r="C840" s="45" t="s">
        <v>29</v>
      </c>
      <c r="D840" s="45" t="s">
        <v>30</v>
      </c>
      <c r="E840" s="45" t="s">
        <v>31</v>
      </c>
      <c r="F840" s="45" t="s">
        <v>32</v>
      </c>
    </row>
    <row r="841" spans="1:6" x14ac:dyDescent="0.25">
      <c r="A841" s="68">
        <v>93141701</v>
      </c>
      <c r="B841" s="72" t="s">
        <v>342</v>
      </c>
      <c r="C841" s="68" t="s">
        <v>68</v>
      </c>
      <c r="D841" s="70">
        <v>1</v>
      </c>
      <c r="E841" s="70">
        <v>30000</v>
      </c>
      <c r="F841" s="56">
        <f>Table410141817283032163134353741454951535559224427434648525462636471727374[[#This Row],[PRECIO UNITARIO ESTIMADO]]*Table410141817283032163134353741454951535559224427434648525462636471727374[[#This Row],[CANTIDAD TOTAL ESTIMADA]]</f>
        <v>30000</v>
      </c>
    </row>
    <row r="842" spans="1:6" ht="16.5" x14ac:dyDescent="0.25">
      <c r="A842" s="1"/>
      <c r="B842" s="1"/>
      <c r="C842" s="1"/>
      <c r="D842" s="1"/>
      <c r="E842" s="49" t="s">
        <v>40</v>
      </c>
      <c r="F842" s="50">
        <f>SUM(F841:F841)</f>
        <v>30000</v>
      </c>
    </row>
    <row r="843" spans="1:6" ht="15.75" thickBot="1" x14ac:dyDescent="0.3"/>
    <row r="844" spans="1:6" ht="45.75" thickBot="1" x14ac:dyDescent="0.3">
      <c r="A844" s="37" t="s">
        <v>41</v>
      </c>
      <c r="B844" s="37" t="s">
        <v>42</v>
      </c>
      <c r="C844" s="37" t="s">
        <v>43</v>
      </c>
      <c r="D844" s="37" t="s">
        <v>44</v>
      </c>
      <c r="E844" s="37" t="s">
        <v>45</v>
      </c>
      <c r="F844" s="37" t="s">
        <v>46</v>
      </c>
    </row>
    <row r="845" spans="1:6" ht="30.75" thickBot="1" x14ac:dyDescent="0.3">
      <c r="A845" s="32" t="s">
        <v>252</v>
      </c>
      <c r="B845" s="32" t="s">
        <v>252</v>
      </c>
      <c r="C845" s="33" t="s">
        <v>251</v>
      </c>
      <c r="D845" s="32" t="s">
        <v>253</v>
      </c>
      <c r="E845" s="33" t="s">
        <v>51</v>
      </c>
      <c r="F845" s="33"/>
    </row>
    <row r="846" spans="1:6" ht="15.75" thickBot="1" x14ac:dyDescent="0.3">
      <c r="A846" s="123" t="s">
        <v>16</v>
      </c>
      <c r="B846" s="20" t="s">
        <v>17</v>
      </c>
      <c r="C846" s="21">
        <v>45021</v>
      </c>
      <c r="D846" s="123" t="s">
        <v>18</v>
      </c>
      <c r="E846" s="22" t="s">
        <v>19</v>
      </c>
      <c r="F846" s="23" t="s">
        <v>20</v>
      </c>
    </row>
    <row r="847" spans="1:6" ht="15.75" thickBot="1" x14ac:dyDescent="0.3">
      <c r="A847" s="124"/>
      <c r="B847" s="20" t="s">
        <v>21</v>
      </c>
      <c r="C847" s="20">
        <v>2</v>
      </c>
      <c r="D847" s="124"/>
      <c r="E847" s="22" t="s">
        <v>22</v>
      </c>
      <c r="F847" s="23" t="s">
        <v>23</v>
      </c>
    </row>
    <row r="848" spans="1:6" ht="15.75" thickBot="1" x14ac:dyDescent="0.3">
      <c r="A848" s="124"/>
      <c r="B848" s="20" t="s">
        <v>24</v>
      </c>
      <c r="C848" s="21">
        <v>45041</v>
      </c>
      <c r="D848" s="124"/>
      <c r="E848" s="22" t="s">
        <v>25</v>
      </c>
      <c r="F848" s="23"/>
    </row>
    <row r="849" spans="1:9" ht="15.75" thickBot="1" x14ac:dyDescent="0.3">
      <c r="A849" s="125"/>
      <c r="B849" s="20" t="s">
        <v>21</v>
      </c>
      <c r="C849" s="20">
        <v>2</v>
      </c>
      <c r="D849" s="125"/>
      <c r="E849" s="22" t="s">
        <v>26</v>
      </c>
      <c r="F849" s="23"/>
    </row>
    <row r="850" spans="1:9" ht="17.25" thickBot="1" x14ac:dyDescent="0.3">
      <c r="A850" s="1"/>
      <c r="B850" s="1"/>
      <c r="C850" s="1"/>
      <c r="D850" s="1"/>
      <c r="E850" s="1"/>
      <c r="F850" s="1"/>
    </row>
    <row r="851" spans="1:9" x14ac:dyDescent="0.25">
      <c r="A851" s="45" t="s">
        <v>27</v>
      </c>
      <c r="B851" s="45" t="s">
        <v>28</v>
      </c>
      <c r="C851" s="45" t="s">
        <v>29</v>
      </c>
      <c r="D851" s="45" t="s">
        <v>30</v>
      </c>
      <c r="E851" s="45" t="s">
        <v>31</v>
      </c>
      <c r="F851" s="45" t="s">
        <v>32</v>
      </c>
    </row>
    <row r="852" spans="1:9" ht="30" x14ac:dyDescent="0.25">
      <c r="A852" s="68">
        <v>43231512</v>
      </c>
      <c r="B852" s="75" t="s">
        <v>339</v>
      </c>
      <c r="C852" s="68" t="s">
        <v>68</v>
      </c>
      <c r="D852" s="70">
        <v>1</v>
      </c>
      <c r="E852" s="118">
        <v>400000</v>
      </c>
      <c r="F852" s="56">
        <f>Table41014181728303216313435374145495153555922442743464852546263647172737479[[#This Row],[PRECIO UNITARIO ESTIMADO]]*Table41014181728303216313435374145495153555922442743464852546263647172737479[[#This Row],[CANTIDAD TOTAL ESTIMADA]]</f>
        <v>400000</v>
      </c>
    </row>
    <row r="853" spans="1:9" x14ac:dyDescent="0.25">
      <c r="A853" s="68"/>
      <c r="B853" s="74"/>
      <c r="C853" s="68"/>
      <c r="D853" s="70"/>
      <c r="E853" s="70"/>
      <c r="F853" s="56">
        <f>Table41014181728303216313435374145495153555922442743464852546263647172737479[[#This Row],[PRECIO UNITARIO ESTIMADO]]*Table41014181728303216313435374145495153555922442743464852546263647172737479[[#This Row],[CANTIDAD TOTAL ESTIMADA]]</f>
        <v>0</v>
      </c>
    </row>
    <row r="854" spans="1:9" ht="16.5" x14ac:dyDescent="0.25">
      <c r="A854" s="1"/>
      <c r="B854" s="1"/>
      <c r="C854" s="1"/>
      <c r="D854" s="1"/>
      <c r="E854" s="49" t="s">
        <v>40</v>
      </c>
      <c r="F854" s="50">
        <f>F852</f>
        <v>400000</v>
      </c>
    </row>
    <row r="855" spans="1:9" ht="15.75" thickBot="1" x14ac:dyDescent="0.3"/>
    <row r="856" spans="1:9" ht="45.75" thickBot="1" x14ac:dyDescent="0.3">
      <c r="A856" s="37" t="s">
        <v>41</v>
      </c>
      <c r="B856" s="37" t="s">
        <v>42</v>
      </c>
      <c r="C856" s="37" t="s">
        <v>43</v>
      </c>
      <c r="D856" s="37" t="s">
        <v>44</v>
      </c>
      <c r="E856" s="37" t="s">
        <v>45</v>
      </c>
      <c r="F856" s="37" t="s">
        <v>46</v>
      </c>
    </row>
    <row r="857" spans="1:9" ht="45.75" thickBot="1" x14ac:dyDescent="0.3">
      <c r="A857" s="32" t="s">
        <v>254</v>
      </c>
      <c r="B857" s="32" t="s">
        <v>254</v>
      </c>
      <c r="C857" s="33" t="s">
        <v>247</v>
      </c>
      <c r="D857" s="32" t="s">
        <v>245</v>
      </c>
      <c r="E857" s="33" t="s">
        <v>51</v>
      </c>
      <c r="F857" s="33"/>
      <c r="G857" s="143"/>
      <c r="H857" s="144"/>
      <c r="I857" s="143"/>
    </row>
    <row r="858" spans="1:9" ht="15.75" thickBot="1" x14ac:dyDescent="0.3">
      <c r="A858" s="123" t="s">
        <v>16</v>
      </c>
      <c r="B858" s="20" t="s">
        <v>17</v>
      </c>
      <c r="C858" s="21">
        <v>45265</v>
      </c>
      <c r="D858" s="123" t="s">
        <v>18</v>
      </c>
      <c r="E858" s="22" t="s">
        <v>19</v>
      </c>
      <c r="F858" s="23" t="s">
        <v>20</v>
      </c>
    </row>
    <row r="859" spans="1:9" ht="15.75" thickBot="1" x14ac:dyDescent="0.3">
      <c r="A859" s="124"/>
      <c r="B859" s="20" t="s">
        <v>21</v>
      </c>
      <c r="C859" s="20">
        <v>4</v>
      </c>
      <c r="D859" s="124"/>
      <c r="E859" s="22" t="s">
        <v>22</v>
      </c>
      <c r="F859" s="23" t="s">
        <v>23</v>
      </c>
    </row>
    <row r="860" spans="1:9" ht="15.75" thickBot="1" x14ac:dyDescent="0.3">
      <c r="A860" s="124"/>
      <c r="B860" s="20" t="s">
        <v>24</v>
      </c>
      <c r="C860" s="21">
        <v>45265</v>
      </c>
      <c r="D860" s="124"/>
      <c r="E860" s="22" t="s">
        <v>25</v>
      </c>
      <c r="F860" s="23"/>
    </row>
    <row r="861" spans="1:9" ht="15.75" thickBot="1" x14ac:dyDescent="0.3">
      <c r="A861" s="125"/>
      <c r="B861" s="20" t="s">
        <v>21</v>
      </c>
      <c r="C861" s="20">
        <v>4</v>
      </c>
      <c r="D861" s="125"/>
      <c r="E861" s="22" t="s">
        <v>26</v>
      </c>
      <c r="F861" s="23"/>
    </row>
    <row r="862" spans="1:9" ht="17.25" thickBot="1" x14ac:dyDescent="0.3">
      <c r="A862" s="1"/>
      <c r="B862" s="1"/>
      <c r="C862" s="1"/>
      <c r="D862" s="1"/>
      <c r="E862" s="1"/>
      <c r="F862" s="1"/>
    </row>
    <row r="863" spans="1:9" x14ac:dyDescent="0.25">
      <c r="A863" s="45" t="s">
        <v>27</v>
      </c>
      <c r="B863" s="45" t="s">
        <v>28</v>
      </c>
      <c r="C863" s="45" t="s">
        <v>29</v>
      </c>
      <c r="D863" s="45" t="s">
        <v>30</v>
      </c>
      <c r="E863" s="45" t="s">
        <v>31</v>
      </c>
      <c r="F863" s="45" t="s">
        <v>32</v>
      </c>
    </row>
    <row r="864" spans="1:9" ht="30" x14ac:dyDescent="0.25">
      <c r="A864" s="68">
        <v>43231512</v>
      </c>
      <c r="B864" s="75" t="s">
        <v>255</v>
      </c>
      <c r="C864" s="68" t="s">
        <v>68</v>
      </c>
      <c r="D864" s="70">
        <v>1</v>
      </c>
      <c r="E864" s="70">
        <v>20000</v>
      </c>
      <c r="F864" s="56">
        <f>Table4101418172830321631343537414549515355592244274346485254626364717273747980[[#This Row],[PRECIO UNITARIO ESTIMADO]]*Table4101418172830321631343537414549515355592244274346485254626364717273747980[[#This Row],[CANTIDAD TOTAL ESTIMADA]]</f>
        <v>20000</v>
      </c>
    </row>
    <row r="865" spans="1:6" x14ac:dyDescent="0.25">
      <c r="A865" s="68">
        <v>44171613</v>
      </c>
      <c r="B865" s="73" t="s">
        <v>256</v>
      </c>
      <c r="C865" s="68" t="s">
        <v>68</v>
      </c>
      <c r="D865" s="70">
        <v>25</v>
      </c>
      <c r="E865" s="70">
        <v>10000</v>
      </c>
      <c r="F865" s="56">
        <f>Table4101418172830321631343537414549515355592244274346485254626364717273747980[[#This Row],[CANTIDAD TOTAL ESTIMADA]]*Table4101418172830321631343537414549515355592244274346485254626364717273747980[[#This Row],[PRECIO UNITARIO ESTIMADO]]</f>
        <v>250000</v>
      </c>
    </row>
    <row r="866" spans="1:6" x14ac:dyDescent="0.25">
      <c r="A866" s="68">
        <v>39121534</v>
      </c>
      <c r="B866" s="74" t="s">
        <v>257</v>
      </c>
      <c r="C866" s="68" t="s">
        <v>68</v>
      </c>
      <c r="D866" s="70">
        <v>2</v>
      </c>
      <c r="E866" s="70">
        <v>5000</v>
      </c>
      <c r="F866" s="56">
        <f>Table4101418172830321631343537414549515355592244274346485254626364717273747980[[#This Row],[PRECIO UNITARIO ESTIMADO]]*Table4101418172830321631343537414549515355592244274346485254626364717273747980[[#This Row],[CANTIDAD TOTAL ESTIMADA]]</f>
        <v>10000</v>
      </c>
    </row>
    <row r="867" spans="1:6" ht="16.5" x14ac:dyDescent="0.25">
      <c r="A867" s="1"/>
      <c r="B867" s="1"/>
      <c r="C867" s="1"/>
      <c r="D867" s="1"/>
      <c r="E867" s="49" t="s">
        <v>40</v>
      </c>
      <c r="F867" s="50">
        <f>SUM(F864:F866)</f>
        <v>280000</v>
      </c>
    </row>
    <row r="869" spans="1:6" ht="15.75" thickBot="1" x14ac:dyDescent="0.3"/>
    <row r="870" spans="1:6" ht="45.75" thickBot="1" x14ac:dyDescent="0.3">
      <c r="A870" s="37" t="s">
        <v>41</v>
      </c>
      <c r="B870" s="37" t="s">
        <v>42</v>
      </c>
      <c r="C870" s="37" t="s">
        <v>43</v>
      </c>
      <c r="D870" s="37" t="s">
        <v>44</v>
      </c>
      <c r="E870" s="37" t="s">
        <v>45</v>
      </c>
      <c r="F870" s="37" t="s">
        <v>46</v>
      </c>
    </row>
    <row r="871" spans="1:6" ht="30.75" thickBot="1" x14ac:dyDescent="0.3">
      <c r="A871" s="32" t="s">
        <v>258</v>
      </c>
      <c r="B871" s="32" t="s">
        <v>258</v>
      </c>
      <c r="C871" s="33" t="s">
        <v>247</v>
      </c>
      <c r="D871" s="32" t="s">
        <v>238</v>
      </c>
      <c r="E871" s="33" t="s">
        <v>51</v>
      </c>
      <c r="F871" s="33"/>
    </row>
    <row r="872" spans="1:6" ht="15.75" thickBot="1" x14ac:dyDescent="0.3">
      <c r="A872" s="123" t="s">
        <v>16</v>
      </c>
      <c r="B872" s="20" t="s">
        <v>17</v>
      </c>
      <c r="C872" s="21">
        <v>44990</v>
      </c>
      <c r="D872" s="123" t="s">
        <v>18</v>
      </c>
      <c r="E872" s="22" t="s">
        <v>19</v>
      </c>
      <c r="F872" s="23" t="s">
        <v>20</v>
      </c>
    </row>
    <row r="873" spans="1:6" ht="15.75" thickBot="1" x14ac:dyDescent="0.3">
      <c r="A873" s="124"/>
      <c r="B873" s="20" t="s">
        <v>21</v>
      </c>
      <c r="C873" s="20">
        <v>1</v>
      </c>
      <c r="D873" s="124"/>
      <c r="E873" s="22" t="s">
        <v>22</v>
      </c>
      <c r="F873" s="23" t="s">
        <v>23</v>
      </c>
    </row>
    <row r="874" spans="1:6" ht="15.75" thickBot="1" x14ac:dyDescent="0.3">
      <c r="A874" s="124"/>
      <c r="B874" s="20" t="s">
        <v>24</v>
      </c>
      <c r="C874" s="21">
        <v>44990</v>
      </c>
      <c r="D874" s="124"/>
      <c r="E874" s="22" t="s">
        <v>25</v>
      </c>
      <c r="F874" s="23"/>
    </row>
    <row r="875" spans="1:6" ht="15.75" thickBot="1" x14ac:dyDescent="0.3">
      <c r="A875" s="125"/>
      <c r="B875" s="20" t="s">
        <v>21</v>
      </c>
      <c r="C875" s="20">
        <v>1</v>
      </c>
      <c r="D875" s="125"/>
      <c r="E875" s="22" t="s">
        <v>26</v>
      </c>
      <c r="F875" s="23"/>
    </row>
    <row r="876" spans="1:6" ht="17.25" thickBot="1" x14ac:dyDescent="0.3">
      <c r="A876" s="1"/>
      <c r="B876" s="1"/>
      <c r="C876" s="1"/>
      <c r="D876" s="1"/>
      <c r="E876" s="1"/>
      <c r="F876" s="1"/>
    </row>
    <row r="877" spans="1:6" x14ac:dyDescent="0.25">
      <c r="A877" s="45" t="s">
        <v>27</v>
      </c>
      <c r="B877" s="45" t="s">
        <v>28</v>
      </c>
      <c r="C877" s="45" t="s">
        <v>29</v>
      </c>
      <c r="D877" s="45" t="s">
        <v>30</v>
      </c>
      <c r="E877" s="45" t="s">
        <v>31</v>
      </c>
      <c r="F877" s="45" t="s">
        <v>32</v>
      </c>
    </row>
    <row r="878" spans="1:6" x14ac:dyDescent="0.25">
      <c r="A878" s="68">
        <v>41112210</v>
      </c>
      <c r="B878" s="74" t="s">
        <v>259</v>
      </c>
      <c r="C878" s="68" t="s">
        <v>68</v>
      </c>
      <c r="D878" s="70">
        <v>1</v>
      </c>
      <c r="E878" s="70">
        <v>400</v>
      </c>
      <c r="F878" s="56">
        <f>Table410141817283032163134353741454951535559224427434648525462636471727374798081[[#This Row],[CANTIDAD TOTAL ESTIMADA]]*Table410141817283032163134353741454951535559224427434648525462636471727374798081[[#This Row],[PRECIO UNITARIO ESTIMADO]]</f>
        <v>400</v>
      </c>
    </row>
    <row r="879" spans="1:6" x14ac:dyDescent="0.25">
      <c r="A879" s="68">
        <v>51142001</v>
      </c>
      <c r="B879" s="73" t="s">
        <v>260</v>
      </c>
      <c r="C879" s="68" t="s">
        <v>68</v>
      </c>
      <c r="D879" s="70">
        <v>20</v>
      </c>
      <c r="E879" s="70">
        <v>30</v>
      </c>
      <c r="F879" s="56">
        <f>Table410141817283032163134353741454951535559224427434648525462636471727374798081[[#This Row],[CANTIDAD TOTAL ESTIMADA]]*Table410141817283032163134353741454951535559224427434648525462636471727374798081[[#This Row],[PRECIO UNITARIO ESTIMADO]]</f>
        <v>600</v>
      </c>
    </row>
    <row r="880" spans="1:6" x14ac:dyDescent="0.25">
      <c r="A880" s="68">
        <v>51161606</v>
      </c>
      <c r="B880" s="73" t="s">
        <v>261</v>
      </c>
      <c r="C880" s="68" t="s">
        <v>68</v>
      </c>
      <c r="D880" s="70">
        <v>20</v>
      </c>
      <c r="E880" s="70">
        <v>20</v>
      </c>
      <c r="F880" s="56">
        <f>Table410141817283032163134353741454951535559224427434648525462636471727374798081[[#This Row],[CANTIDAD TOTAL ESTIMADA]]*Table410141817283032163134353741454951535559224427434648525462636471727374798081[[#This Row],[PRECIO UNITARIO ESTIMADO]]</f>
        <v>400</v>
      </c>
    </row>
    <row r="881" spans="1:6" x14ac:dyDescent="0.25">
      <c r="A881" s="68">
        <v>12352104</v>
      </c>
      <c r="B881" s="73" t="s">
        <v>262</v>
      </c>
      <c r="C881" s="68" t="s">
        <v>263</v>
      </c>
      <c r="D881" s="70">
        <v>3</v>
      </c>
      <c r="E881" s="70">
        <v>150</v>
      </c>
      <c r="F881" s="56">
        <f>Table410141817283032163134353741454951535559224427434648525462636471727374798081[[#This Row],[CANTIDAD TOTAL ESTIMADA]]*Table410141817283032163134353741454951535559224427434648525462636471727374798081[[#This Row],[PRECIO UNITARIO ESTIMADO]]</f>
        <v>450</v>
      </c>
    </row>
    <row r="882" spans="1:6" ht="16.5" x14ac:dyDescent="0.25">
      <c r="A882" s="1"/>
      <c r="B882" s="1"/>
      <c r="C882" s="1"/>
      <c r="D882" s="1"/>
      <c r="E882" s="49" t="s">
        <v>40</v>
      </c>
      <c r="F882" s="50">
        <f>SUM(F878:F881)</f>
        <v>1850</v>
      </c>
    </row>
    <row r="885" spans="1:6" ht="15.75" thickBot="1" x14ac:dyDescent="0.3"/>
    <row r="886" spans="1:6" ht="45.75" thickBot="1" x14ac:dyDescent="0.3">
      <c r="A886" s="37" t="s">
        <v>41</v>
      </c>
      <c r="B886" s="37" t="s">
        <v>42</v>
      </c>
      <c r="C886" s="37" t="s">
        <v>43</v>
      </c>
      <c r="D886" s="37" t="s">
        <v>44</v>
      </c>
      <c r="E886" s="37" t="s">
        <v>45</v>
      </c>
      <c r="F886" s="37" t="s">
        <v>46</v>
      </c>
    </row>
    <row r="887" spans="1:6" ht="30.75" thickBot="1" x14ac:dyDescent="0.3">
      <c r="A887" s="32" t="s">
        <v>264</v>
      </c>
      <c r="B887" s="32" t="s">
        <v>264</v>
      </c>
      <c r="C887" s="33" t="s">
        <v>247</v>
      </c>
      <c r="D887" s="32" t="s">
        <v>193</v>
      </c>
      <c r="E887" s="33" t="s">
        <v>51</v>
      </c>
      <c r="F887" s="33"/>
    </row>
    <row r="888" spans="1:6" ht="15.75" thickBot="1" x14ac:dyDescent="0.3">
      <c r="A888" s="123" t="s">
        <v>16</v>
      </c>
      <c r="B888" s="20" t="s">
        <v>17</v>
      </c>
      <c r="C888" s="21">
        <v>44990</v>
      </c>
      <c r="D888" s="123" t="s">
        <v>18</v>
      </c>
      <c r="E888" s="22" t="s">
        <v>19</v>
      </c>
      <c r="F888" s="23" t="s">
        <v>20</v>
      </c>
    </row>
    <row r="889" spans="1:6" ht="15.75" thickBot="1" x14ac:dyDescent="0.3">
      <c r="A889" s="124"/>
      <c r="B889" s="20" t="s">
        <v>21</v>
      </c>
      <c r="C889" s="20">
        <v>1</v>
      </c>
      <c r="D889" s="124"/>
      <c r="E889" s="22" t="s">
        <v>22</v>
      </c>
      <c r="F889" s="23" t="s">
        <v>23</v>
      </c>
    </row>
    <row r="890" spans="1:6" ht="15.75" thickBot="1" x14ac:dyDescent="0.3">
      <c r="A890" s="124"/>
      <c r="B890" s="20" t="s">
        <v>24</v>
      </c>
      <c r="C890" s="21">
        <v>44990</v>
      </c>
      <c r="D890" s="124"/>
      <c r="E890" s="22" t="s">
        <v>25</v>
      </c>
      <c r="F890" s="23"/>
    </row>
    <row r="891" spans="1:6" ht="15.75" thickBot="1" x14ac:dyDescent="0.3">
      <c r="A891" s="125"/>
      <c r="B891" s="20" t="s">
        <v>21</v>
      </c>
      <c r="C891" s="20">
        <v>1</v>
      </c>
      <c r="D891" s="125"/>
      <c r="E891" s="22" t="s">
        <v>26</v>
      </c>
      <c r="F891" s="23"/>
    </row>
    <row r="892" spans="1:6" ht="17.25" thickBot="1" x14ac:dyDescent="0.3">
      <c r="A892" s="1"/>
      <c r="B892" s="1"/>
      <c r="C892" s="1"/>
      <c r="D892" s="1"/>
      <c r="E892" s="1"/>
      <c r="F892" s="1"/>
    </row>
    <row r="893" spans="1:6" x14ac:dyDescent="0.25">
      <c r="A893" s="45" t="s">
        <v>27</v>
      </c>
      <c r="B893" s="45" t="s">
        <v>28</v>
      </c>
      <c r="C893" s="45" t="s">
        <v>29</v>
      </c>
      <c r="D893" s="45" t="s">
        <v>30</v>
      </c>
      <c r="E893" s="45" t="s">
        <v>31</v>
      </c>
      <c r="F893" s="45" t="s">
        <v>32</v>
      </c>
    </row>
    <row r="894" spans="1:6" x14ac:dyDescent="0.25">
      <c r="A894" s="68">
        <v>43211507</v>
      </c>
      <c r="B894" s="99" t="s">
        <v>265</v>
      </c>
      <c r="C894" s="68" t="s">
        <v>68</v>
      </c>
      <c r="D894" s="70">
        <v>5</v>
      </c>
      <c r="E894" s="70">
        <v>40000</v>
      </c>
      <c r="F894" s="56">
        <f>Table41014181728303216313435374145495153555922442743464852546263647172737479808185[[#This Row],[CANTIDAD TOTAL ESTIMADA]]*Table41014181728303216313435374145495153555922442743464852546263647172737479808185[[#This Row],[PRECIO UNITARIO ESTIMADO]]</f>
        <v>200000</v>
      </c>
    </row>
    <row r="895" spans="1:6" x14ac:dyDescent="0.25">
      <c r="A895" s="68">
        <v>43211507</v>
      </c>
      <c r="B895" s="58" t="s">
        <v>266</v>
      </c>
      <c r="C895" s="68" t="s">
        <v>68</v>
      </c>
      <c r="D895" s="70">
        <v>5</v>
      </c>
      <c r="E895" s="70">
        <v>45000</v>
      </c>
      <c r="F895" s="56">
        <f>Table41014181728303216313435374145495153555922442743464852546263647172737479808185[[#This Row],[CANTIDAD TOTAL ESTIMADA]]*Table41014181728303216313435374145495153555922442743464852546263647172737479808185[[#This Row],[PRECIO UNITARIO ESTIMADO]]</f>
        <v>225000</v>
      </c>
    </row>
    <row r="896" spans="1:6" x14ac:dyDescent="0.25">
      <c r="A896" s="68" t="s">
        <v>316</v>
      </c>
      <c r="B896" s="71" t="s">
        <v>315</v>
      </c>
      <c r="C896" s="68" t="s">
        <v>68</v>
      </c>
      <c r="D896" s="70">
        <v>2</v>
      </c>
      <c r="E896" s="70">
        <v>10000</v>
      </c>
      <c r="F896" s="56">
        <f>Table41014181728303216313435374145495153555922442743464852546263647172737479808185[[#This Row],[PRECIO UNITARIO ESTIMADO]]*Table41014181728303216313435374145495153555922442743464852546263647172737479808185[[#This Row],[CANTIDAD TOTAL ESTIMADA]]</f>
        <v>20000</v>
      </c>
    </row>
    <row r="897" spans="1:7" x14ac:dyDescent="0.25">
      <c r="A897" s="68">
        <v>42203705</v>
      </c>
      <c r="B897" s="71" t="s">
        <v>337</v>
      </c>
      <c r="C897" s="68" t="s">
        <v>68</v>
      </c>
      <c r="D897" s="70">
        <v>1</v>
      </c>
      <c r="E897" s="70">
        <v>65000</v>
      </c>
      <c r="F897" s="56">
        <f>Table41014181728303216313435374145495153555922442743464852546263647172737479808185[[#This Row],[PRECIO UNITARIO ESTIMADO]]</f>
        <v>65000</v>
      </c>
    </row>
    <row r="898" spans="1:7" x14ac:dyDescent="0.25">
      <c r="A898" s="68">
        <v>43211903</v>
      </c>
      <c r="B898" s="58" t="s">
        <v>267</v>
      </c>
      <c r="C898" s="68" t="s">
        <v>68</v>
      </c>
      <c r="D898" s="70">
        <v>1</v>
      </c>
      <c r="E898" s="70">
        <v>12000</v>
      </c>
      <c r="F898" s="56">
        <f>Table41014181728303216313435374145495153555922442743464852546263647172737479808185[[#This Row],[CANTIDAD TOTAL ESTIMADA]]*Table41014181728303216313435374145495153555922442743464852546263647172737479808185[[#This Row],[PRECIO UNITARIO ESTIMADO]]</f>
        <v>12000</v>
      </c>
    </row>
    <row r="899" spans="1:7" x14ac:dyDescent="0.25">
      <c r="A899" s="68">
        <v>45121501</v>
      </c>
      <c r="B899" s="71" t="s">
        <v>306</v>
      </c>
      <c r="C899" s="68" t="s">
        <v>68</v>
      </c>
      <c r="D899" s="70">
        <v>8</v>
      </c>
      <c r="E899" s="70">
        <v>11750</v>
      </c>
      <c r="F899" s="56">
        <f>Table41014181728303216313435374145495153555922442743464852546263647172737479808185[[#This Row],[PRECIO UNITARIO ESTIMADO]]*Table41014181728303216313435374145495153555922442743464852546263647172737479808185[[#This Row],[CANTIDAD TOTAL ESTIMADA]]</f>
        <v>94000</v>
      </c>
    </row>
    <row r="900" spans="1:7" x14ac:dyDescent="0.25">
      <c r="A900" s="68">
        <v>43231512</v>
      </c>
      <c r="B900" s="107" t="s">
        <v>326</v>
      </c>
      <c r="C900" s="68" t="s">
        <v>68</v>
      </c>
      <c r="D900" s="70">
        <v>1</v>
      </c>
      <c r="E900" s="70">
        <v>350000</v>
      </c>
      <c r="F900" s="56">
        <f>Table41014181728303216313435374145495153555922442743464852546263647172737479808185[[#This Row],[PRECIO UNITARIO ESTIMADO]]*Table41014181728303216313435374145495153555922442743464852546263647172737479808185[[#This Row],[CANTIDAD TOTAL ESTIMADA]]</f>
        <v>350000</v>
      </c>
    </row>
    <row r="901" spans="1:7" x14ac:dyDescent="0.25">
      <c r="A901" s="68">
        <v>43201803</v>
      </c>
      <c r="B901" s="58" t="s">
        <v>268</v>
      </c>
      <c r="C901" s="68" t="s">
        <v>68</v>
      </c>
      <c r="D901" s="70">
        <v>5</v>
      </c>
      <c r="E901" s="70">
        <v>3000</v>
      </c>
      <c r="F901" s="56">
        <f>Table41014181728303216313435374145495153555922442743464852546263647172737479808185[[#This Row],[CANTIDAD TOTAL ESTIMADA]]*Table41014181728303216313435374145495153555922442743464852546263647172737479808185[[#This Row],[PRECIO UNITARIO ESTIMADO]]</f>
        <v>15000</v>
      </c>
    </row>
    <row r="902" spans="1:7" x14ac:dyDescent="0.25">
      <c r="A902" s="68">
        <v>43211706</v>
      </c>
      <c r="B902" s="58" t="s">
        <v>269</v>
      </c>
      <c r="C902" s="68" t="s">
        <v>68</v>
      </c>
      <c r="D902" s="70">
        <v>5</v>
      </c>
      <c r="E902" s="70">
        <v>600</v>
      </c>
      <c r="F902" s="56">
        <f>Table41014181728303216313435374145495153555922442743464852546263647172737479808185[[#This Row],[CANTIDAD TOTAL ESTIMADA]]*Table41014181728303216313435374145495153555922442743464852546263647172737479808185[[#This Row],[PRECIO UNITARIO ESTIMADO]]</f>
        <v>3000</v>
      </c>
    </row>
    <row r="903" spans="1:7" x14ac:dyDescent="0.25">
      <c r="A903" s="68">
        <v>43211708</v>
      </c>
      <c r="B903" s="58" t="s">
        <v>270</v>
      </c>
      <c r="C903" s="68" t="s">
        <v>68</v>
      </c>
      <c r="D903" s="70">
        <v>5</v>
      </c>
      <c r="E903" s="70">
        <v>300</v>
      </c>
      <c r="F903" s="56">
        <f>Table41014181728303216313435374145495153555922442743464852546263647172737479808185[[#This Row],[CANTIDAD TOTAL ESTIMADA]]*Table41014181728303216313435374145495153555922442743464852546263647172737479808185[[#This Row],[PRECIO UNITARIO ESTIMADO]]</f>
        <v>1500</v>
      </c>
    </row>
    <row r="904" spans="1:7" x14ac:dyDescent="0.25">
      <c r="A904" s="68">
        <v>43201503</v>
      </c>
      <c r="B904" s="108" t="s">
        <v>271</v>
      </c>
      <c r="C904" s="68" t="s">
        <v>68</v>
      </c>
      <c r="D904" s="70">
        <v>6</v>
      </c>
      <c r="E904" s="70">
        <v>2000</v>
      </c>
      <c r="F904" s="56">
        <f>Table41014181728303216313435374145495153555922442743464852546263647172737479808185[[#This Row],[CANTIDAD TOTAL ESTIMADA]]*Table41014181728303216313435374145495153555922442743464852546263647172737479808185[[#This Row],[PRECIO UNITARIO ESTIMADO]]</f>
        <v>12000</v>
      </c>
    </row>
    <row r="905" spans="1:7" x14ac:dyDescent="0.25">
      <c r="A905" s="68"/>
      <c r="B905" s="74"/>
      <c r="C905" s="68"/>
      <c r="D905" s="70"/>
      <c r="E905" s="70"/>
      <c r="F905" s="56">
        <f>Table41014181728303216313435374145495153555922442743464852546263647172737479808185[[#This Row],[CANTIDAD TOTAL ESTIMADA]]*Table41014181728303216313435374145495153555922442743464852546263647172737479808185[[#This Row],[PRECIO UNITARIO ESTIMADO]]</f>
        <v>0</v>
      </c>
    </row>
    <row r="906" spans="1:7" ht="16.5" x14ac:dyDescent="0.25">
      <c r="A906" s="1"/>
      <c r="B906" s="1"/>
      <c r="C906" s="1"/>
      <c r="D906" s="1"/>
      <c r="E906" s="49" t="s">
        <v>40</v>
      </c>
      <c r="F906" s="50">
        <f>SUM(F894:F904)</f>
        <v>997500</v>
      </c>
    </row>
    <row r="907" spans="1:7" x14ac:dyDescent="0.25">
      <c r="G907" s="110"/>
    </row>
    <row r="909" spans="1:7" ht="15.75" thickBot="1" x14ac:dyDescent="0.3"/>
    <row r="910" spans="1:7" ht="45.75" thickBot="1" x14ac:dyDescent="0.3">
      <c r="A910" s="37" t="s">
        <v>41</v>
      </c>
      <c r="B910" s="37" t="s">
        <v>42</v>
      </c>
      <c r="C910" s="37" t="s">
        <v>43</v>
      </c>
      <c r="D910" s="37" t="s">
        <v>44</v>
      </c>
      <c r="E910" s="37" t="s">
        <v>45</v>
      </c>
      <c r="F910" s="37" t="s">
        <v>46</v>
      </c>
    </row>
    <row r="911" spans="1:7" ht="30.75" thickBot="1" x14ac:dyDescent="0.3">
      <c r="A911" s="32" t="s">
        <v>272</v>
      </c>
      <c r="B911" s="32" t="s">
        <v>272</v>
      </c>
      <c r="C911" s="33" t="s">
        <v>237</v>
      </c>
      <c r="D911" s="32" t="s">
        <v>189</v>
      </c>
      <c r="E911" s="33" t="s">
        <v>51</v>
      </c>
      <c r="F911" s="33"/>
    </row>
    <row r="912" spans="1:7" ht="15.75" thickBot="1" x14ac:dyDescent="0.3">
      <c r="A912" s="123" t="s">
        <v>16</v>
      </c>
      <c r="B912" s="20" t="s">
        <v>17</v>
      </c>
      <c r="C912" s="21">
        <v>44990</v>
      </c>
      <c r="D912" s="123" t="s">
        <v>18</v>
      </c>
      <c r="E912" s="22" t="s">
        <v>19</v>
      </c>
      <c r="F912" s="23" t="s">
        <v>20</v>
      </c>
    </row>
    <row r="913" spans="1:6" ht="15.75" thickBot="1" x14ac:dyDescent="0.3">
      <c r="A913" s="124"/>
      <c r="B913" s="20" t="s">
        <v>21</v>
      </c>
      <c r="C913" s="20">
        <v>1</v>
      </c>
      <c r="D913" s="124"/>
      <c r="E913" s="22" t="s">
        <v>22</v>
      </c>
      <c r="F913" s="23" t="s">
        <v>23</v>
      </c>
    </row>
    <row r="914" spans="1:6" ht="15.75" thickBot="1" x14ac:dyDescent="0.3">
      <c r="A914" s="124"/>
      <c r="B914" s="20" t="s">
        <v>24</v>
      </c>
      <c r="C914" s="21">
        <v>44990</v>
      </c>
      <c r="D914" s="124"/>
      <c r="E914" s="22" t="s">
        <v>25</v>
      </c>
      <c r="F914" s="23"/>
    </row>
    <row r="915" spans="1:6" ht="15.75" thickBot="1" x14ac:dyDescent="0.3">
      <c r="A915" s="125"/>
      <c r="B915" s="20" t="s">
        <v>21</v>
      </c>
      <c r="C915" s="20">
        <v>1</v>
      </c>
      <c r="D915" s="125"/>
      <c r="E915" s="22" t="s">
        <v>26</v>
      </c>
      <c r="F915" s="23"/>
    </row>
    <row r="916" spans="1:6" ht="17.25" thickBot="1" x14ac:dyDescent="0.3">
      <c r="A916" s="1"/>
      <c r="B916" s="1"/>
      <c r="C916" s="1"/>
      <c r="D916" s="1"/>
      <c r="E916" s="1"/>
      <c r="F916" s="1"/>
    </row>
    <row r="917" spans="1:6" x14ac:dyDescent="0.25">
      <c r="A917" s="45" t="s">
        <v>27</v>
      </c>
      <c r="B917" s="45" t="s">
        <v>28</v>
      </c>
      <c r="C917" s="45" t="s">
        <v>29</v>
      </c>
      <c r="D917" s="45" t="s">
        <v>30</v>
      </c>
      <c r="E917" s="45" t="s">
        <v>31</v>
      </c>
      <c r="F917" s="45" t="s">
        <v>32</v>
      </c>
    </row>
    <row r="918" spans="1:6" s="110" customFormat="1" x14ac:dyDescent="0.25">
      <c r="A918" s="68">
        <v>81111812</v>
      </c>
      <c r="B918" s="117" t="s">
        <v>273</v>
      </c>
      <c r="C918" s="68" t="s">
        <v>68</v>
      </c>
      <c r="D918" s="70">
        <v>2</v>
      </c>
      <c r="E918" s="70">
        <v>25000</v>
      </c>
      <c r="F918" s="56">
        <f>Table4101418172830321631343537414549515355592244274346485254626364717273747980818587[[#This Row],[CANTIDAD TOTAL ESTIMADA]]*Table4101418172830321631343537414549515355592244274346485254626364717273747980818587[[#This Row],[PRECIO UNITARIO ESTIMADO]]</f>
        <v>50000</v>
      </c>
    </row>
    <row r="919" spans="1:6" x14ac:dyDescent="0.25">
      <c r="A919" s="68">
        <v>81111812</v>
      </c>
      <c r="B919" s="76" t="s">
        <v>274</v>
      </c>
      <c r="C919" s="68" t="s">
        <v>68</v>
      </c>
      <c r="D919" s="70">
        <v>2</v>
      </c>
      <c r="E919" s="70">
        <v>6500</v>
      </c>
      <c r="F919" s="56">
        <f>Table4101418172830321631343537414549515355592244274346485254626364717273747980818587[[#This Row],[CANTIDAD TOTAL ESTIMADA]]*Table4101418172830321631343537414549515355592244274346485254626364717273747980818587[[#This Row],[PRECIO UNITARIO ESTIMADO]]</f>
        <v>13000</v>
      </c>
    </row>
    <row r="920" spans="1:6" x14ac:dyDescent="0.25">
      <c r="A920" s="68"/>
      <c r="B920" s="74"/>
      <c r="C920" s="68"/>
      <c r="D920" s="70"/>
      <c r="E920" s="70"/>
      <c r="F920" s="56">
        <f>Table4101418172830321631343537414549515355592244274346485254626364717273747980818587[[#This Row],[CANTIDAD TOTAL ESTIMADA]]*Table4101418172830321631343537414549515355592244274346485254626364717273747980818587[[#This Row],[PRECIO UNITARIO ESTIMADO]]</f>
        <v>0</v>
      </c>
    </row>
    <row r="921" spans="1:6" ht="16.5" x14ac:dyDescent="0.25">
      <c r="A921" s="1"/>
      <c r="B921" s="1"/>
      <c r="C921" s="1"/>
      <c r="D921" s="1"/>
      <c r="E921" s="49" t="s">
        <v>40</v>
      </c>
      <c r="F921" s="50">
        <f>SUM(F918:F920)</f>
        <v>63000</v>
      </c>
    </row>
    <row r="923" spans="1:6" s="110" customFormat="1" ht="15.75" thickBot="1" x14ac:dyDescent="0.3"/>
    <row r="924" spans="1:6" ht="45.75" thickBot="1" x14ac:dyDescent="0.3">
      <c r="A924" s="37" t="s">
        <v>41</v>
      </c>
      <c r="B924" s="37" t="s">
        <v>42</v>
      </c>
      <c r="C924" s="37" t="s">
        <v>43</v>
      </c>
      <c r="D924" s="37" t="s">
        <v>44</v>
      </c>
      <c r="E924" s="37" t="s">
        <v>45</v>
      </c>
      <c r="F924" s="37" t="s">
        <v>46</v>
      </c>
    </row>
    <row r="925" spans="1:6" ht="15.75" thickBot="1" x14ac:dyDescent="0.3">
      <c r="A925" s="32" t="s">
        <v>275</v>
      </c>
      <c r="B925" s="32" t="s">
        <v>275</v>
      </c>
      <c r="C925" s="33" t="s">
        <v>237</v>
      </c>
      <c r="D925" s="32" t="s">
        <v>276</v>
      </c>
      <c r="E925" s="33" t="s">
        <v>51</v>
      </c>
      <c r="F925" s="33"/>
    </row>
    <row r="926" spans="1:6" ht="15.75" thickBot="1" x14ac:dyDescent="0.3">
      <c r="A926" s="123" t="s">
        <v>16</v>
      </c>
      <c r="B926" s="20" t="s">
        <v>17</v>
      </c>
      <c r="C926" s="21">
        <v>44990</v>
      </c>
      <c r="D926" s="123" t="s">
        <v>18</v>
      </c>
      <c r="E926" s="22" t="s">
        <v>19</v>
      </c>
      <c r="F926" s="23" t="s">
        <v>20</v>
      </c>
    </row>
    <row r="927" spans="1:6" ht="15.75" thickBot="1" x14ac:dyDescent="0.3">
      <c r="A927" s="124"/>
      <c r="B927" s="20" t="s">
        <v>21</v>
      </c>
      <c r="C927" s="20">
        <v>1</v>
      </c>
      <c r="D927" s="124"/>
      <c r="E927" s="22" t="s">
        <v>22</v>
      </c>
      <c r="F927" s="23" t="s">
        <v>23</v>
      </c>
    </row>
    <row r="928" spans="1:6" ht="15.75" thickBot="1" x14ac:dyDescent="0.3">
      <c r="A928" s="124"/>
      <c r="B928" s="20" t="s">
        <v>24</v>
      </c>
      <c r="C928" s="21">
        <v>44990</v>
      </c>
      <c r="D928" s="124"/>
      <c r="E928" s="22" t="s">
        <v>25</v>
      </c>
      <c r="F928" s="23"/>
    </row>
    <row r="929" spans="1:7" ht="15.75" thickBot="1" x14ac:dyDescent="0.3">
      <c r="A929" s="125"/>
      <c r="B929" s="20" t="s">
        <v>21</v>
      </c>
      <c r="C929" s="20">
        <v>1</v>
      </c>
      <c r="D929" s="125"/>
      <c r="E929" s="22" t="s">
        <v>26</v>
      </c>
      <c r="F929" s="23"/>
    </row>
    <row r="930" spans="1:7" ht="17.25" thickBot="1" x14ac:dyDescent="0.3">
      <c r="A930" s="1"/>
      <c r="B930" s="1"/>
      <c r="C930" s="1"/>
      <c r="D930" s="1"/>
      <c r="E930" s="1"/>
      <c r="F930" s="1"/>
    </row>
    <row r="931" spans="1:7" x14ac:dyDescent="0.25">
      <c r="A931" s="45" t="s">
        <v>27</v>
      </c>
      <c r="B931" s="45" t="s">
        <v>28</v>
      </c>
      <c r="C931" s="45" t="s">
        <v>29</v>
      </c>
      <c r="D931" s="45" t="s">
        <v>30</v>
      </c>
      <c r="E931" s="45" t="s">
        <v>31</v>
      </c>
      <c r="F931" s="45" t="s">
        <v>32</v>
      </c>
    </row>
    <row r="932" spans="1:7" x14ac:dyDescent="0.25">
      <c r="A932" s="68">
        <v>43231512</v>
      </c>
      <c r="B932" s="117" t="s">
        <v>277</v>
      </c>
      <c r="C932" s="68" t="s">
        <v>68</v>
      </c>
      <c r="D932" s="70">
        <v>1</v>
      </c>
      <c r="E932" s="70">
        <v>60000</v>
      </c>
      <c r="F932" s="56">
        <f>Table41014181728303216313435374145495153555922442743464852546263647172737479808185879193[[#This Row],[CANTIDAD TOTAL ESTIMADA]]*Table41014181728303216313435374145495153555922442743464852546263647172737479808185879193[[#This Row],[PRECIO UNITARIO ESTIMADO]]</f>
        <v>60000</v>
      </c>
    </row>
    <row r="933" spans="1:7" ht="16.5" x14ac:dyDescent="0.25">
      <c r="A933" s="1"/>
      <c r="B933" s="1"/>
      <c r="C933" s="1"/>
      <c r="D933" s="1"/>
      <c r="E933" s="49" t="s">
        <v>40</v>
      </c>
      <c r="F933" s="50">
        <f>SUM(F932:F932)</f>
        <v>60000</v>
      </c>
    </row>
    <row r="935" spans="1:7" ht="17.25" thickBot="1" x14ac:dyDescent="0.3">
      <c r="A935" s="1"/>
      <c r="B935" s="1"/>
      <c r="C935" s="1"/>
      <c r="D935" s="1"/>
      <c r="E935" s="79"/>
      <c r="F935" s="80"/>
    </row>
    <row r="936" spans="1:7" ht="45.75" thickBot="1" x14ac:dyDescent="0.3">
      <c r="A936" s="37" t="s">
        <v>41</v>
      </c>
      <c r="B936" s="37" t="s">
        <v>42</v>
      </c>
      <c r="C936" s="37" t="s">
        <v>43</v>
      </c>
      <c r="D936" s="37" t="s">
        <v>44</v>
      </c>
      <c r="E936" s="37" t="s">
        <v>45</v>
      </c>
      <c r="F936" s="37" t="s">
        <v>46</v>
      </c>
    </row>
    <row r="937" spans="1:7" ht="15.75" thickBot="1" x14ac:dyDescent="0.3">
      <c r="A937" s="32" t="s">
        <v>278</v>
      </c>
      <c r="B937" s="32" t="s">
        <v>279</v>
      </c>
      <c r="C937" s="33" t="s">
        <v>237</v>
      </c>
      <c r="D937" s="32" t="s">
        <v>184</v>
      </c>
      <c r="E937" s="33" t="s">
        <v>51</v>
      </c>
      <c r="F937" s="33"/>
    </row>
    <row r="938" spans="1:7" ht="15.75" thickBot="1" x14ac:dyDescent="0.3">
      <c r="A938" s="123" t="s">
        <v>16</v>
      </c>
      <c r="B938" s="20" t="s">
        <v>17</v>
      </c>
      <c r="C938" s="21">
        <v>44990</v>
      </c>
      <c r="D938" s="123" t="s">
        <v>18</v>
      </c>
      <c r="E938" s="22" t="s">
        <v>19</v>
      </c>
      <c r="F938" s="23" t="s">
        <v>20</v>
      </c>
    </row>
    <row r="939" spans="1:7" ht="15.75" thickBot="1" x14ac:dyDescent="0.3">
      <c r="A939" s="124"/>
      <c r="B939" s="20" t="s">
        <v>21</v>
      </c>
      <c r="C939" s="20">
        <v>1</v>
      </c>
      <c r="D939" s="124"/>
      <c r="E939" s="22" t="s">
        <v>22</v>
      </c>
      <c r="F939" s="23" t="s">
        <v>23</v>
      </c>
    </row>
    <row r="940" spans="1:7" ht="15.75" thickBot="1" x14ac:dyDescent="0.3">
      <c r="A940" s="124"/>
      <c r="B940" s="20" t="s">
        <v>24</v>
      </c>
      <c r="C940" s="21">
        <v>44990</v>
      </c>
      <c r="D940" s="124"/>
      <c r="E940" s="22" t="s">
        <v>25</v>
      </c>
      <c r="F940" s="23"/>
    </row>
    <row r="941" spans="1:7" ht="15.75" thickBot="1" x14ac:dyDescent="0.3">
      <c r="A941" s="125"/>
      <c r="B941" s="20" t="s">
        <v>21</v>
      </c>
      <c r="C941" s="20">
        <v>1</v>
      </c>
      <c r="D941" s="125"/>
      <c r="E941" s="22" t="s">
        <v>26</v>
      </c>
      <c r="F941" s="23"/>
    </row>
    <row r="942" spans="1:7" ht="17.25" thickBot="1" x14ac:dyDescent="0.3">
      <c r="A942" s="1"/>
      <c r="B942" s="1"/>
      <c r="C942" s="1"/>
      <c r="D942" s="1"/>
      <c r="E942" s="1"/>
      <c r="F942" s="1"/>
    </row>
    <row r="943" spans="1:7" x14ac:dyDescent="0.25">
      <c r="A943" s="45" t="s">
        <v>27</v>
      </c>
      <c r="B943" s="45" t="s">
        <v>28</v>
      </c>
      <c r="C943" s="45" t="s">
        <v>29</v>
      </c>
      <c r="D943" s="45" t="s">
        <v>30</v>
      </c>
      <c r="E943" s="45" t="s">
        <v>31</v>
      </c>
      <c r="F943" s="45" t="s">
        <v>32</v>
      </c>
    </row>
    <row r="944" spans="1:7" x14ac:dyDescent="0.25">
      <c r="A944" s="68"/>
      <c r="B944" s="76" t="s">
        <v>280</v>
      </c>
      <c r="C944" s="68" t="s">
        <v>68</v>
      </c>
      <c r="D944" s="70">
        <v>0</v>
      </c>
      <c r="E944" s="70">
        <v>25</v>
      </c>
      <c r="F944" s="56">
        <f>Table41014181728303216313435374145495153555922442743464852546263647172737479808185879193959861[[#This Row],[CANTIDAD TOTAL ESTIMADA]]*Table41014181728303216313435374145495153555922442743464852546263647172737479808185879193959861[[#This Row],[PRECIO UNITARIO ESTIMADO]]</f>
        <v>0</v>
      </c>
      <c r="G944" s="110"/>
    </row>
    <row r="945" spans="1:6" x14ac:dyDescent="0.25">
      <c r="A945" s="68"/>
      <c r="B945" s="109" t="s">
        <v>321</v>
      </c>
      <c r="C945" s="68" t="s">
        <v>68</v>
      </c>
      <c r="D945" s="70">
        <v>1</v>
      </c>
      <c r="E945" s="70">
        <v>125000</v>
      </c>
      <c r="F945" s="56">
        <f>Table41014181728303216313435374145495153555922442743464852546263647172737479808185879193959861[[#This Row],[PRECIO UNITARIO ESTIMADO]]*Table41014181728303216313435374145495153555922442743464852546263647172737479808185879193959861[[#This Row],[CANTIDAD TOTAL ESTIMADA]]</f>
        <v>125000</v>
      </c>
    </row>
    <row r="946" spans="1:6" x14ac:dyDescent="0.25">
      <c r="A946" s="68"/>
      <c r="B946" s="77" t="s">
        <v>281</v>
      </c>
      <c r="C946" s="68" t="s">
        <v>68</v>
      </c>
      <c r="D946" s="70">
        <v>1</v>
      </c>
      <c r="E946" s="70">
        <v>17000</v>
      </c>
      <c r="F946" s="78">
        <f>Table41014181728303216313435374145495153555922442743464852546263647172737479808185879193959861[[#This Row],[PRECIO UNITARIO ESTIMADO]]*Table41014181728303216313435374145495153555922442743464852546263647172737479808185879193959861[[#This Row],[CANTIDAD TOTAL ESTIMADA]]</f>
        <v>17000</v>
      </c>
    </row>
    <row r="947" spans="1:6" x14ac:dyDescent="0.25">
      <c r="A947" s="68"/>
      <c r="B947" s="77" t="s">
        <v>282</v>
      </c>
      <c r="C947" s="68" t="s">
        <v>68</v>
      </c>
      <c r="D947" s="70">
        <v>5</v>
      </c>
      <c r="E947" s="70">
        <v>2000</v>
      </c>
      <c r="F947" s="56">
        <f>Table41014181728303216313435374145495153555922442743464852546263647172737479808185879193959861[[#This Row],[CANTIDAD TOTAL ESTIMADA]]*Table41014181728303216313435374145495153555922442743464852546263647172737479808185879193959861[[#This Row],[PRECIO UNITARIO ESTIMADO]]</f>
        <v>10000</v>
      </c>
    </row>
    <row r="948" spans="1:6" x14ac:dyDescent="0.25">
      <c r="A948" s="68"/>
      <c r="B948" s="76" t="s">
        <v>283</v>
      </c>
      <c r="C948" s="68" t="s">
        <v>68</v>
      </c>
      <c r="D948" s="70">
        <v>100</v>
      </c>
      <c r="E948" s="70">
        <v>50</v>
      </c>
      <c r="F948" s="56">
        <f>Table41014181728303216313435374145495153555922442743464852546263647172737479808185879193959861[[#This Row],[CANTIDAD TOTAL ESTIMADA]]*Table41014181728303216313435374145495153555922442743464852546263647172737479808185879193959861[[#This Row],[PRECIO UNITARIO ESTIMADO]]</f>
        <v>5000</v>
      </c>
    </row>
    <row r="949" spans="1:6" ht="16.5" x14ac:dyDescent="0.25">
      <c r="A949" s="1"/>
      <c r="B949" s="1"/>
      <c r="C949" s="1"/>
      <c r="D949" s="1"/>
      <c r="E949" s="49" t="s">
        <v>40</v>
      </c>
      <c r="F949" s="50">
        <f>SUM(F944:F948)</f>
        <v>157000</v>
      </c>
    </row>
    <row r="951" spans="1:6" ht="15.75" thickBot="1" x14ac:dyDescent="0.3"/>
    <row r="952" spans="1:6" ht="45.75" thickBot="1" x14ac:dyDescent="0.3">
      <c r="A952" s="37" t="s">
        <v>41</v>
      </c>
      <c r="B952" s="37" t="s">
        <v>42</v>
      </c>
      <c r="C952" s="37" t="s">
        <v>43</v>
      </c>
      <c r="D952" s="37" t="s">
        <v>44</v>
      </c>
      <c r="E952" s="37" t="s">
        <v>45</v>
      </c>
      <c r="F952" s="37" t="s">
        <v>46</v>
      </c>
    </row>
    <row r="953" spans="1:6" ht="30.75" thickBot="1" x14ac:dyDescent="0.3">
      <c r="A953" s="32" t="s">
        <v>235</v>
      </c>
      <c r="B953" s="32" t="s">
        <v>284</v>
      </c>
      <c r="C953" s="33" t="s">
        <v>237</v>
      </c>
      <c r="D953" s="32" t="s">
        <v>238</v>
      </c>
      <c r="E953" s="33" t="s">
        <v>51</v>
      </c>
      <c r="F953" s="33"/>
    </row>
    <row r="954" spans="1:6" ht="15.75" thickBot="1" x14ac:dyDescent="0.3">
      <c r="A954" s="123" t="s">
        <v>16</v>
      </c>
      <c r="B954" s="20" t="s">
        <v>17</v>
      </c>
      <c r="C954" s="21">
        <v>45082</v>
      </c>
      <c r="D954" s="123" t="s">
        <v>18</v>
      </c>
      <c r="E954" s="22" t="s">
        <v>19</v>
      </c>
      <c r="F954" s="23" t="s">
        <v>20</v>
      </c>
    </row>
    <row r="955" spans="1:6" ht="15.75" thickBot="1" x14ac:dyDescent="0.3">
      <c r="A955" s="124"/>
      <c r="B955" s="20" t="s">
        <v>21</v>
      </c>
      <c r="C955" s="20">
        <v>2</v>
      </c>
      <c r="D955" s="124"/>
      <c r="E955" s="22" t="s">
        <v>22</v>
      </c>
      <c r="F955" s="23" t="s">
        <v>23</v>
      </c>
    </row>
    <row r="956" spans="1:6" ht="15.75" thickBot="1" x14ac:dyDescent="0.3">
      <c r="A956" s="124"/>
      <c r="B956" s="20" t="s">
        <v>24</v>
      </c>
      <c r="C956" s="21">
        <v>45102</v>
      </c>
      <c r="D956" s="124"/>
      <c r="E956" s="22" t="s">
        <v>25</v>
      </c>
      <c r="F956" s="23"/>
    </row>
    <row r="957" spans="1:6" ht="15.75" thickBot="1" x14ac:dyDescent="0.3">
      <c r="A957" s="125"/>
      <c r="B957" s="20" t="s">
        <v>21</v>
      </c>
      <c r="C957" s="20">
        <v>2</v>
      </c>
      <c r="D957" s="125"/>
      <c r="E957" s="22" t="s">
        <v>26</v>
      </c>
      <c r="F957" s="23"/>
    </row>
    <row r="958" spans="1:6" ht="17.25" thickBot="1" x14ac:dyDescent="0.3">
      <c r="A958" s="1"/>
      <c r="B958" s="1"/>
      <c r="C958" s="1"/>
      <c r="D958" s="1"/>
      <c r="E958" s="1"/>
      <c r="F958" s="1"/>
    </row>
    <row r="959" spans="1:6" x14ac:dyDescent="0.25">
      <c r="A959" s="45" t="s">
        <v>27</v>
      </c>
      <c r="B959" s="45" t="s">
        <v>28</v>
      </c>
      <c r="C959" s="45" t="s">
        <v>29</v>
      </c>
      <c r="D959" s="45" t="s">
        <v>30</v>
      </c>
      <c r="E959" s="45" t="s">
        <v>31</v>
      </c>
      <c r="F959" s="45" t="s">
        <v>32</v>
      </c>
    </row>
    <row r="960" spans="1:6" x14ac:dyDescent="0.25">
      <c r="A960" s="68">
        <v>90101603</v>
      </c>
      <c r="B960" s="69" t="s">
        <v>285</v>
      </c>
      <c r="C960" s="68" t="s">
        <v>68</v>
      </c>
      <c r="D960" s="68">
        <v>1</v>
      </c>
      <c r="E960" s="70">
        <v>10000</v>
      </c>
      <c r="F960" s="56">
        <f>Table410141817283032163134353741454951535559224427434642[[#This Row],[CANTIDAD TOTAL ESTIMADA]]*Table410141817283032163134353741454951535559224427434642[[#This Row],[PRECIO UNITARIO ESTIMADO]]</f>
        <v>10000</v>
      </c>
    </row>
    <row r="961" spans="1:6" ht="16.5" x14ac:dyDescent="0.25">
      <c r="A961" s="1"/>
      <c r="B961" s="1"/>
      <c r="C961" s="1"/>
      <c r="D961" s="1"/>
      <c r="E961" s="49" t="s">
        <v>40</v>
      </c>
      <c r="F961" s="50">
        <f>F960</f>
        <v>10000</v>
      </c>
    </row>
    <row r="962" spans="1:6" ht="15.75" thickBot="1" x14ac:dyDescent="0.3"/>
    <row r="963" spans="1:6" ht="45.75" thickBot="1" x14ac:dyDescent="0.3">
      <c r="A963" s="37" t="s">
        <v>41</v>
      </c>
      <c r="B963" s="37" t="s">
        <v>42</v>
      </c>
      <c r="C963" s="37" t="s">
        <v>43</v>
      </c>
      <c r="D963" s="37" t="s">
        <v>44</v>
      </c>
      <c r="E963" s="37" t="s">
        <v>45</v>
      </c>
      <c r="F963" s="37" t="s">
        <v>46</v>
      </c>
    </row>
    <row r="964" spans="1:6" ht="30.75" thickBot="1" x14ac:dyDescent="0.3">
      <c r="A964" s="32" t="s">
        <v>286</v>
      </c>
      <c r="B964" s="32" t="s">
        <v>286</v>
      </c>
      <c r="C964" s="33" t="s">
        <v>237</v>
      </c>
      <c r="D964" s="32" t="s">
        <v>238</v>
      </c>
      <c r="E964" s="33" t="s">
        <v>51</v>
      </c>
      <c r="F964" s="33"/>
    </row>
    <row r="965" spans="1:6" ht="15.75" thickBot="1" x14ac:dyDescent="0.3">
      <c r="A965" s="123" t="s">
        <v>16</v>
      </c>
      <c r="B965" s="20" t="s">
        <v>17</v>
      </c>
      <c r="C965" s="21">
        <v>45082</v>
      </c>
      <c r="D965" s="123" t="s">
        <v>18</v>
      </c>
      <c r="E965" s="22" t="s">
        <v>19</v>
      </c>
      <c r="F965" s="23" t="s">
        <v>20</v>
      </c>
    </row>
    <row r="966" spans="1:6" ht="15.75" thickBot="1" x14ac:dyDescent="0.3">
      <c r="A966" s="124"/>
      <c r="B966" s="20" t="s">
        <v>21</v>
      </c>
      <c r="C966" s="20">
        <v>2</v>
      </c>
      <c r="D966" s="124"/>
      <c r="E966" s="22" t="s">
        <v>22</v>
      </c>
      <c r="F966" s="23" t="s">
        <v>23</v>
      </c>
    </row>
    <row r="967" spans="1:6" ht="15.75" thickBot="1" x14ac:dyDescent="0.3">
      <c r="A967" s="124"/>
      <c r="B967" s="20" t="s">
        <v>24</v>
      </c>
      <c r="C967" s="21">
        <v>45102</v>
      </c>
      <c r="D967" s="124"/>
      <c r="E967" s="22" t="s">
        <v>25</v>
      </c>
      <c r="F967" s="23"/>
    </row>
    <row r="968" spans="1:6" ht="15.75" thickBot="1" x14ac:dyDescent="0.3">
      <c r="A968" s="125"/>
      <c r="B968" s="20" t="s">
        <v>21</v>
      </c>
      <c r="C968" s="20">
        <v>2</v>
      </c>
      <c r="D968" s="125"/>
      <c r="E968" s="22" t="s">
        <v>26</v>
      </c>
      <c r="F968" s="23"/>
    </row>
    <row r="969" spans="1:6" ht="17.25" thickBot="1" x14ac:dyDescent="0.3">
      <c r="A969" s="1"/>
      <c r="B969" s="1"/>
      <c r="C969" s="1"/>
      <c r="D969" s="1"/>
      <c r="E969" s="1"/>
      <c r="F969" s="1"/>
    </row>
    <row r="970" spans="1:6" x14ac:dyDescent="0.25">
      <c r="A970" s="45" t="s">
        <v>27</v>
      </c>
      <c r="B970" s="45" t="s">
        <v>28</v>
      </c>
      <c r="C970" s="45" t="s">
        <v>29</v>
      </c>
      <c r="D970" s="45" t="s">
        <v>30</v>
      </c>
      <c r="E970" s="45" t="s">
        <v>31</v>
      </c>
      <c r="F970" s="45" t="s">
        <v>32</v>
      </c>
    </row>
    <row r="971" spans="1:6" x14ac:dyDescent="0.25">
      <c r="A971" s="68">
        <v>90101603</v>
      </c>
      <c r="B971" s="69" t="s">
        <v>287</v>
      </c>
      <c r="C971" s="68" t="s">
        <v>68</v>
      </c>
      <c r="D971" s="68">
        <v>1</v>
      </c>
      <c r="E971" s="70">
        <v>10000</v>
      </c>
      <c r="F971" s="56">
        <f>Table41014181728303216313435374145495153555922442743464250[[#This Row],[CANTIDAD TOTAL ESTIMADA]]*Table41014181728303216313435374145495153555922442743464250[[#This Row],[PRECIO UNITARIO ESTIMADO]]</f>
        <v>10000</v>
      </c>
    </row>
    <row r="972" spans="1:6" ht="16.5" x14ac:dyDescent="0.25">
      <c r="A972" s="1"/>
      <c r="B972" s="1"/>
      <c r="C972" s="1"/>
      <c r="D972" s="1"/>
      <c r="E972" s="49" t="s">
        <v>40</v>
      </c>
      <c r="F972" s="50">
        <f>F971</f>
        <v>10000</v>
      </c>
    </row>
    <row r="973" spans="1:6" ht="15.75" thickBot="1" x14ac:dyDescent="0.3"/>
    <row r="974" spans="1:6" ht="45.75" thickBot="1" x14ac:dyDescent="0.3">
      <c r="A974" s="37" t="s">
        <v>41</v>
      </c>
      <c r="B974" s="37" t="s">
        <v>42</v>
      </c>
      <c r="C974" s="37" t="s">
        <v>43</v>
      </c>
      <c r="D974" s="37" t="s">
        <v>44</v>
      </c>
      <c r="E974" s="37" t="s">
        <v>45</v>
      </c>
      <c r="F974" s="37" t="s">
        <v>46</v>
      </c>
    </row>
    <row r="975" spans="1:6" ht="30.75" thickBot="1" x14ac:dyDescent="0.3">
      <c r="A975" s="32" t="s">
        <v>288</v>
      </c>
      <c r="B975" s="32" t="s">
        <v>289</v>
      </c>
      <c r="C975" s="33" t="s">
        <v>237</v>
      </c>
      <c r="D975" s="32" t="s">
        <v>238</v>
      </c>
      <c r="E975" s="33" t="s">
        <v>51</v>
      </c>
      <c r="F975" s="33"/>
    </row>
    <row r="976" spans="1:6" ht="15.75" thickBot="1" x14ac:dyDescent="0.3">
      <c r="A976" s="123" t="s">
        <v>16</v>
      </c>
      <c r="B976" s="20" t="s">
        <v>17</v>
      </c>
      <c r="C976" s="21">
        <v>45082</v>
      </c>
      <c r="D976" s="123" t="s">
        <v>18</v>
      </c>
      <c r="E976" s="22" t="s">
        <v>19</v>
      </c>
      <c r="F976" s="23" t="s">
        <v>20</v>
      </c>
    </row>
    <row r="977" spans="1:6" ht="15.75" thickBot="1" x14ac:dyDescent="0.3">
      <c r="A977" s="124"/>
      <c r="B977" s="20" t="s">
        <v>21</v>
      </c>
      <c r="C977" s="20">
        <v>2</v>
      </c>
      <c r="D977" s="124"/>
      <c r="E977" s="22" t="s">
        <v>22</v>
      </c>
      <c r="F977" s="23" t="s">
        <v>23</v>
      </c>
    </row>
    <row r="978" spans="1:6" ht="15.75" thickBot="1" x14ac:dyDescent="0.3">
      <c r="A978" s="124"/>
      <c r="B978" s="20" t="s">
        <v>24</v>
      </c>
      <c r="C978" s="21">
        <v>45102</v>
      </c>
      <c r="D978" s="124"/>
      <c r="E978" s="22" t="s">
        <v>25</v>
      </c>
      <c r="F978" s="23"/>
    </row>
    <row r="979" spans="1:6" ht="15.75" thickBot="1" x14ac:dyDescent="0.3">
      <c r="A979" s="125"/>
      <c r="B979" s="20" t="s">
        <v>21</v>
      </c>
      <c r="C979" s="20">
        <v>2</v>
      </c>
      <c r="D979" s="125"/>
      <c r="E979" s="22" t="s">
        <v>26</v>
      </c>
      <c r="F979" s="23"/>
    </row>
    <row r="980" spans="1:6" ht="17.25" thickBot="1" x14ac:dyDescent="0.3">
      <c r="A980" s="1"/>
      <c r="B980" s="1"/>
      <c r="C980" s="1"/>
      <c r="D980" s="1"/>
      <c r="E980" s="1"/>
      <c r="F980" s="1"/>
    </row>
    <row r="981" spans="1:6" x14ac:dyDescent="0.25">
      <c r="A981" s="45" t="s">
        <v>27</v>
      </c>
      <c r="B981" s="45" t="s">
        <v>28</v>
      </c>
      <c r="C981" s="45" t="s">
        <v>29</v>
      </c>
      <c r="D981" s="45" t="s">
        <v>30</v>
      </c>
      <c r="E981" s="45" t="s">
        <v>31</v>
      </c>
      <c r="F981" s="45" t="s">
        <v>32</v>
      </c>
    </row>
    <row r="982" spans="1:6" x14ac:dyDescent="0.25">
      <c r="A982" s="68">
        <v>90101603</v>
      </c>
      <c r="B982" s="69" t="s">
        <v>239</v>
      </c>
      <c r="C982" s="68" t="s">
        <v>68</v>
      </c>
      <c r="D982" s="68">
        <v>1</v>
      </c>
      <c r="E982" s="70">
        <v>8000</v>
      </c>
      <c r="F982" s="56">
        <f>Table4101418172830321631343537414549515355592244274346425069[[#This Row],[CANTIDAD TOTAL ESTIMADA]]*Table4101418172830321631343537414549515355592244274346425069[[#This Row],[PRECIO UNITARIO ESTIMADO]]</f>
        <v>8000</v>
      </c>
    </row>
    <row r="983" spans="1:6" ht="16.5" x14ac:dyDescent="0.25">
      <c r="A983" s="1"/>
      <c r="B983" s="1"/>
      <c r="C983" s="1"/>
      <c r="D983" s="1"/>
      <c r="E983" s="49" t="s">
        <v>40</v>
      </c>
      <c r="F983" s="50">
        <f>F982</f>
        <v>8000</v>
      </c>
    </row>
    <row r="984" spans="1:6" ht="15.75" thickBot="1" x14ac:dyDescent="0.3"/>
    <row r="985" spans="1:6" ht="45.75" thickBot="1" x14ac:dyDescent="0.3">
      <c r="A985" s="37" t="s">
        <v>41</v>
      </c>
      <c r="B985" s="37" t="s">
        <v>42</v>
      </c>
      <c r="C985" s="37" t="s">
        <v>43</v>
      </c>
      <c r="D985" s="37" t="s">
        <v>44</v>
      </c>
      <c r="E985" s="37" t="s">
        <v>45</v>
      </c>
      <c r="F985" s="37" t="s">
        <v>46</v>
      </c>
    </row>
    <row r="986" spans="1:6" ht="30.75" thickBot="1" x14ac:dyDescent="0.3">
      <c r="A986" s="32" t="s">
        <v>290</v>
      </c>
      <c r="B986" s="32" t="s">
        <v>291</v>
      </c>
      <c r="C986" s="33" t="s">
        <v>237</v>
      </c>
      <c r="D986" s="32" t="s">
        <v>238</v>
      </c>
      <c r="E986" s="33" t="s">
        <v>51</v>
      </c>
      <c r="F986" s="33"/>
    </row>
    <row r="987" spans="1:6" ht="15.75" thickBot="1" x14ac:dyDescent="0.3">
      <c r="A987" s="123" t="s">
        <v>16</v>
      </c>
      <c r="B987" s="20" t="s">
        <v>17</v>
      </c>
      <c r="C987" s="21">
        <v>45082</v>
      </c>
      <c r="D987" s="123" t="s">
        <v>18</v>
      </c>
      <c r="E987" s="22" t="s">
        <v>19</v>
      </c>
      <c r="F987" s="23" t="s">
        <v>20</v>
      </c>
    </row>
    <row r="988" spans="1:6" ht="15.75" thickBot="1" x14ac:dyDescent="0.3">
      <c r="A988" s="124"/>
      <c r="B988" s="20" t="s">
        <v>21</v>
      </c>
      <c r="C988" s="20">
        <v>2</v>
      </c>
      <c r="D988" s="124"/>
      <c r="E988" s="22" t="s">
        <v>22</v>
      </c>
      <c r="F988" s="23" t="s">
        <v>23</v>
      </c>
    </row>
    <row r="989" spans="1:6" ht="15.75" thickBot="1" x14ac:dyDescent="0.3">
      <c r="A989" s="124"/>
      <c r="B989" s="20" t="s">
        <v>24</v>
      </c>
      <c r="C989" s="21">
        <v>45102</v>
      </c>
      <c r="D989" s="124"/>
      <c r="E989" s="22" t="s">
        <v>25</v>
      </c>
      <c r="F989" s="23"/>
    </row>
    <row r="990" spans="1:6" ht="15.75" thickBot="1" x14ac:dyDescent="0.3">
      <c r="A990" s="125"/>
      <c r="B990" s="20" t="s">
        <v>21</v>
      </c>
      <c r="C990" s="20">
        <v>2</v>
      </c>
      <c r="D990" s="125"/>
      <c r="E990" s="22" t="s">
        <v>26</v>
      </c>
      <c r="F990" s="23"/>
    </row>
    <row r="991" spans="1:6" ht="17.25" thickBot="1" x14ac:dyDescent="0.3">
      <c r="A991" s="1"/>
      <c r="B991" s="1"/>
      <c r="C991" s="1"/>
      <c r="D991" s="1"/>
      <c r="E991" s="1"/>
      <c r="F991" s="1"/>
    </row>
    <row r="992" spans="1:6" x14ac:dyDescent="0.25">
      <c r="A992" s="45" t="s">
        <v>27</v>
      </c>
      <c r="B992" s="45" t="s">
        <v>28</v>
      </c>
      <c r="C992" s="45" t="s">
        <v>29</v>
      </c>
      <c r="D992" s="45" t="s">
        <v>30</v>
      </c>
      <c r="E992" s="45" t="s">
        <v>31</v>
      </c>
      <c r="F992" s="45" t="s">
        <v>32</v>
      </c>
    </row>
    <row r="993" spans="1:6" x14ac:dyDescent="0.25">
      <c r="A993" s="68"/>
      <c r="B993" s="84"/>
      <c r="C993" s="68"/>
      <c r="D993" s="70"/>
      <c r="E993" s="70"/>
      <c r="F993" s="56"/>
    </row>
    <row r="994" spans="1:6" x14ac:dyDescent="0.25">
      <c r="A994" s="112">
        <v>90101603</v>
      </c>
      <c r="B994" s="111" t="s">
        <v>324</v>
      </c>
      <c r="C994" s="68" t="s">
        <v>68</v>
      </c>
      <c r="D994" s="68">
        <v>2</v>
      </c>
      <c r="E994" s="81">
        <v>10000</v>
      </c>
      <c r="F994" s="56">
        <f>Table410141817283032163134353741454951535559224427434642506997[[#This Row],[CANTIDAD TOTAL ESTIMADA]]*Table410141817283032163134353741454951535559224427434642506997[[#This Row],[PRECIO UNITARIO ESTIMADO]]</f>
        <v>20000</v>
      </c>
    </row>
    <row r="995" spans="1:6" s="110" customFormat="1" ht="30" x14ac:dyDescent="0.25">
      <c r="A995" s="112">
        <v>90101603</v>
      </c>
      <c r="B995" s="107" t="s">
        <v>328</v>
      </c>
      <c r="C995" s="68" t="s">
        <v>68</v>
      </c>
      <c r="D995" s="70">
        <v>1</v>
      </c>
      <c r="E995" s="70">
        <v>60000</v>
      </c>
      <c r="F995" s="56">
        <f>Table410141817283032163134353741454951535559224427434642506997[[#This Row],[PRECIO UNITARIO ESTIMADO]]*Table410141817283032163134353741454951535559224427434642506997[[#This Row],[CANTIDAD TOTAL ESTIMADA]]</f>
        <v>60000</v>
      </c>
    </row>
    <row r="996" spans="1:6" ht="16.5" x14ac:dyDescent="0.25">
      <c r="A996" s="1"/>
      <c r="B996" s="115"/>
      <c r="C996" s="1"/>
      <c r="D996" s="1">
        <v>1</v>
      </c>
      <c r="E996" s="113" t="s">
        <v>40</v>
      </c>
      <c r="F996" s="50">
        <f>SUM(F994:F995)</f>
        <v>80000</v>
      </c>
    </row>
    <row r="997" spans="1:6" x14ac:dyDescent="0.25">
      <c r="A997" s="79"/>
      <c r="B997" s="115"/>
      <c r="C997" s="79"/>
      <c r="D997" s="116"/>
      <c r="E997" s="114"/>
      <c r="F997" s="102"/>
    </row>
    <row r="998" spans="1:6" ht="15.75" thickBot="1" x14ac:dyDescent="0.3"/>
    <row r="999" spans="1:6" ht="45.75" thickBot="1" x14ac:dyDescent="0.3">
      <c r="A999" s="37" t="s">
        <v>41</v>
      </c>
      <c r="B999" s="37" t="s">
        <v>42</v>
      </c>
      <c r="C999" s="37" t="s">
        <v>43</v>
      </c>
      <c r="D999" s="37" t="s">
        <v>44</v>
      </c>
      <c r="E999" s="37" t="s">
        <v>45</v>
      </c>
      <c r="F999" s="37" t="s">
        <v>46</v>
      </c>
    </row>
    <row r="1000" spans="1:6" ht="30.75" thickBot="1" x14ac:dyDescent="0.3">
      <c r="A1000" s="32" t="s">
        <v>292</v>
      </c>
      <c r="B1000" s="32" t="s">
        <v>292</v>
      </c>
      <c r="C1000" s="33" t="s">
        <v>237</v>
      </c>
      <c r="D1000" s="32" t="s">
        <v>238</v>
      </c>
      <c r="E1000" s="33" t="s">
        <v>51</v>
      </c>
      <c r="F1000" s="33"/>
    </row>
    <row r="1001" spans="1:6" ht="15.75" thickBot="1" x14ac:dyDescent="0.3">
      <c r="A1001" s="123" t="s">
        <v>16</v>
      </c>
      <c r="B1001" s="20" t="s">
        <v>17</v>
      </c>
      <c r="C1001" s="21">
        <v>45082</v>
      </c>
      <c r="D1001" s="123" t="s">
        <v>18</v>
      </c>
      <c r="E1001" s="22" t="s">
        <v>19</v>
      </c>
      <c r="F1001" s="23" t="s">
        <v>20</v>
      </c>
    </row>
    <row r="1002" spans="1:6" ht="15.75" thickBot="1" x14ac:dyDescent="0.3">
      <c r="A1002" s="124"/>
      <c r="B1002" s="20" t="s">
        <v>21</v>
      </c>
      <c r="C1002" s="20">
        <v>2</v>
      </c>
      <c r="D1002" s="124"/>
      <c r="E1002" s="22" t="s">
        <v>22</v>
      </c>
      <c r="F1002" s="23" t="s">
        <v>23</v>
      </c>
    </row>
    <row r="1003" spans="1:6" ht="15.75" thickBot="1" x14ac:dyDescent="0.3">
      <c r="A1003" s="124"/>
      <c r="B1003" s="20" t="s">
        <v>24</v>
      </c>
      <c r="C1003" s="21">
        <v>45102</v>
      </c>
      <c r="D1003" s="124"/>
      <c r="E1003" s="22" t="s">
        <v>25</v>
      </c>
      <c r="F1003" s="23"/>
    </row>
    <row r="1004" spans="1:6" ht="15.75" thickBot="1" x14ac:dyDescent="0.3">
      <c r="A1004" s="125"/>
      <c r="B1004" s="20" t="s">
        <v>21</v>
      </c>
      <c r="C1004" s="20">
        <v>2</v>
      </c>
      <c r="D1004" s="125"/>
      <c r="E1004" s="22" t="s">
        <v>26</v>
      </c>
      <c r="F1004" s="23"/>
    </row>
    <row r="1005" spans="1:6" ht="17.25" thickBot="1" x14ac:dyDescent="0.3">
      <c r="A1005" s="1"/>
      <c r="B1005" s="1"/>
      <c r="C1005" s="1"/>
      <c r="D1005" s="1"/>
      <c r="E1005" s="1"/>
      <c r="F1005" s="1"/>
    </row>
    <row r="1006" spans="1:6" x14ac:dyDescent="0.25">
      <c r="A1006" s="45" t="s">
        <v>27</v>
      </c>
      <c r="B1006" s="45" t="s">
        <v>28</v>
      </c>
      <c r="C1006" s="45" t="s">
        <v>29</v>
      </c>
      <c r="D1006" s="45" t="s">
        <v>30</v>
      </c>
      <c r="E1006" s="45" t="s">
        <v>31</v>
      </c>
      <c r="F1006" s="45" t="s">
        <v>32</v>
      </c>
    </row>
    <row r="1007" spans="1:6" x14ac:dyDescent="0.25">
      <c r="A1007" s="68">
        <v>90101603</v>
      </c>
      <c r="B1007" s="69" t="s">
        <v>293</v>
      </c>
      <c r="C1007" s="68" t="s">
        <v>68</v>
      </c>
      <c r="D1007" s="68">
        <v>1</v>
      </c>
      <c r="E1007" s="81">
        <v>211000</v>
      </c>
      <c r="F1007" s="56">
        <f>Table410141817283032163134353741454951535559224427434642506997102[[#This Row],[CANTIDAD TOTAL ESTIMADA]]*Table410141817283032163134353741454951535559224427434642506997102[[#This Row],[PRECIO UNITARIO ESTIMADO]]</f>
        <v>211000</v>
      </c>
    </row>
    <row r="1008" spans="1:6" ht="16.5" x14ac:dyDescent="0.25">
      <c r="A1008" s="1"/>
      <c r="B1008" s="1"/>
      <c r="C1008" s="1"/>
      <c r="D1008" s="1"/>
      <c r="E1008" s="49" t="s">
        <v>40</v>
      </c>
      <c r="F1008" s="50">
        <f>F1007</f>
        <v>211000</v>
      </c>
    </row>
    <row r="1010" spans="1:6" ht="15.75" thickBot="1" x14ac:dyDescent="0.3"/>
    <row r="1011" spans="1:6" ht="45.75" thickBot="1" x14ac:dyDescent="0.3">
      <c r="A1011" s="37" t="s">
        <v>41</v>
      </c>
      <c r="B1011" s="37" t="s">
        <v>42</v>
      </c>
      <c r="C1011" s="37" t="s">
        <v>43</v>
      </c>
      <c r="D1011" s="37" t="s">
        <v>44</v>
      </c>
      <c r="E1011" s="37" t="s">
        <v>45</v>
      </c>
      <c r="F1011" s="37" t="s">
        <v>46</v>
      </c>
    </row>
    <row r="1012" spans="1:6" ht="45.75" thickBot="1" x14ac:dyDescent="0.3">
      <c r="A1012" s="32" t="s">
        <v>292</v>
      </c>
      <c r="B1012" s="32" t="s">
        <v>294</v>
      </c>
      <c r="C1012" s="33" t="s">
        <v>237</v>
      </c>
      <c r="D1012" s="32" t="s">
        <v>238</v>
      </c>
      <c r="E1012" s="33" t="s">
        <v>51</v>
      </c>
      <c r="F1012" s="33"/>
    </row>
    <row r="1013" spans="1:6" ht="15.75" thickBot="1" x14ac:dyDescent="0.3">
      <c r="A1013" s="123" t="s">
        <v>16</v>
      </c>
      <c r="B1013" s="20" t="s">
        <v>17</v>
      </c>
      <c r="C1013" s="21">
        <v>45082</v>
      </c>
      <c r="D1013" s="123" t="s">
        <v>18</v>
      </c>
      <c r="E1013" s="22" t="s">
        <v>19</v>
      </c>
      <c r="F1013" s="23" t="s">
        <v>20</v>
      </c>
    </row>
    <row r="1014" spans="1:6" ht="15.75" thickBot="1" x14ac:dyDescent="0.3">
      <c r="A1014" s="124"/>
      <c r="B1014" s="20" t="s">
        <v>21</v>
      </c>
      <c r="C1014" s="20">
        <v>2</v>
      </c>
      <c r="D1014" s="124"/>
      <c r="E1014" s="22" t="s">
        <v>22</v>
      </c>
      <c r="F1014" s="23" t="s">
        <v>23</v>
      </c>
    </row>
    <row r="1015" spans="1:6" ht="15.75" thickBot="1" x14ac:dyDescent="0.3">
      <c r="A1015" s="124"/>
      <c r="B1015" s="20" t="s">
        <v>24</v>
      </c>
      <c r="C1015" s="21">
        <v>45102</v>
      </c>
      <c r="D1015" s="124"/>
      <c r="E1015" s="22" t="s">
        <v>25</v>
      </c>
      <c r="F1015" s="23"/>
    </row>
    <row r="1016" spans="1:6" ht="15.75" thickBot="1" x14ac:dyDescent="0.3">
      <c r="A1016" s="125"/>
      <c r="B1016" s="20" t="s">
        <v>21</v>
      </c>
      <c r="C1016" s="20">
        <v>2</v>
      </c>
      <c r="D1016" s="125"/>
      <c r="E1016" s="22" t="s">
        <v>26</v>
      </c>
      <c r="F1016" s="23"/>
    </row>
    <row r="1017" spans="1:6" ht="17.25" thickBot="1" x14ac:dyDescent="0.3">
      <c r="A1017" s="1"/>
      <c r="B1017" s="1"/>
      <c r="C1017" s="1"/>
      <c r="D1017" s="1"/>
      <c r="E1017" s="1"/>
      <c r="F1017" s="1"/>
    </row>
    <row r="1018" spans="1:6" x14ac:dyDescent="0.25">
      <c r="A1018" s="45" t="s">
        <v>27</v>
      </c>
      <c r="B1018" s="45" t="s">
        <v>28</v>
      </c>
      <c r="C1018" s="45" t="s">
        <v>29</v>
      </c>
      <c r="D1018" s="45" t="s">
        <v>30</v>
      </c>
      <c r="E1018" s="45" t="s">
        <v>31</v>
      </c>
      <c r="F1018" s="45" t="s">
        <v>32</v>
      </c>
    </row>
    <row r="1019" spans="1:6" x14ac:dyDescent="0.25">
      <c r="A1019" s="68">
        <v>90101603</v>
      </c>
      <c r="B1019" s="69" t="s">
        <v>295</v>
      </c>
      <c r="C1019" s="68" t="s">
        <v>68</v>
      </c>
      <c r="D1019" s="68">
        <v>1</v>
      </c>
      <c r="E1019" s="81">
        <v>8000</v>
      </c>
      <c r="F1019" s="56">
        <f>Table410141817283032163134353741454951535559224427434642506997102105[[#This Row],[CANTIDAD TOTAL ESTIMADA]]*Table410141817283032163134353741454951535559224427434642506997102105[[#This Row],[PRECIO UNITARIO ESTIMADO]]</f>
        <v>8000</v>
      </c>
    </row>
    <row r="1020" spans="1:6" ht="16.5" x14ac:dyDescent="0.25">
      <c r="A1020" s="1"/>
      <c r="B1020" s="1"/>
      <c r="C1020" s="1"/>
      <c r="D1020" s="1"/>
      <c r="E1020" s="49" t="s">
        <v>40</v>
      </c>
      <c r="F1020" s="50">
        <f>F1019</f>
        <v>8000</v>
      </c>
    </row>
    <row r="1022" spans="1:6" ht="15.75" thickBot="1" x14ac:dyDescent="0.3"/>
    <row r="1023" spans="1:6" ht="45.75" thickBot="1" x14ac:dyDescent="0.3">
      <c r="A1023" s="37" t="s">
        <v>41</v>
      </c>
      <c r="B1023" s="37" t="s">
        <v>42</v>
      </c>
      <c r="C1023" s="37" t="s">
        <v>43</v>
      </c>
      <c r="D1023" s="37" t="s">
        <v>44</v>
      </c>
      <c r="E1023" s="37" t="s">
        <v>45</v>
      </c>
      <c r="F1023" s="37" t="s">
        <v>46</v>
      </c>
    </row>
    <row r="1024" spans="1:6" ht="60.75" thickBot="1" x14ac:dyDescent="0.3">
      <c r="A1024" s="32" t="s">
        <v>292</v>
      </c>
      <c r="B1024" s="32" t="s">
        <v>296</v>
      </c>
      <c r="C1024" s="33" t="s">
        <v>237</v>
      </c>
      <c r="D1024" s="32" t="s">
        <v>238</v>
      </c>
      <c r="E1024" s="33" t="s">
        <v>51</v>
      </c>
      <c r="F1024" s="33"/>
    </row>
    <row r="1025" spans="1:6" ht="15.75" thickBot="1" x14ac:dyDescent="0.3">
      <c r="A1025" s="123" t="s">
        <v>16</v>
      </c>
      <c r="B1025" s="20" t="s">
        <v>17</v>
      </c>
      <c r="C1025" s="21">
        <v>45082</v>
      </c>
      <c r="D1025" s="123" t="s">
        <v>18</v>
      </c>
      <c r="E1025" s="22" t="s">
        <v>19</v>
      </c>
      <c r="F1025" s="23" t="s">
        <v>20</v>
      </c>
    </row>
    <row r="1026" spans="1:6" ht="15.75" thickBot="1" x14ac:dyDescent="0.3">
      <c r="A1026" s="124"/>
      <c r="B1026" s="20" t="s">
        <v>21</v>
      </c>
      <c r="C1026" s="20">
        <v>2</v>
      </c>
      <c r="D1026" s="124"/>
      <c r="E1026" s="22" t="s">
        <v>22</v>
      </c>
      <c r="F1026" s="23" t="s">
        <v>23</v>
      </c>
    </row>
    <row r="1027" spans="1:6" ht="15.75" thickBot="1" x14ac:dyDescent="0.3">
      <c r="A1027" s="124"/>
      <c r="B1027" s="20" t="s">
        <v>24</v>
      </c>
      <c r="C1027" s="21">
        <v>45102</v>
      </c>
      <c r="D1027" s="124"/>
      <c r="E1027" s="22" t="s">
        <v>25</v>
      </c>
      <c r="F1027" s="23"/>
    </row>
    <row r="1028" spans="1:6" ht="15.75" thickBot="1" x14ac:dyDescent="0.3">
      <c r="A1028" s="125"/>
      <c r="B1028" s="20" t="s">
        <v>21</v>
      </c>
      <c r="C1028" s="20">
        <v>2</v>
      </c>
      <c r="D1028" s="125"/>
      <c r="E1028" s="22" t="s">
        <v>26</v>
      </c>
      <c r="F1028" s="23"/>
    </row>
    <row r="1029" spans="1:6" ht="17.25" thickBot="1" x14ac:dyDescent="0.3">
      <c r="A1029" s="1"/>
      <c r="B1029" s="1"/>
      <c r="C1029" s="1"/>
      <c r="D1029" s="1"/>
      <c r="E1029" s="1"/>
      <c r="F1029" s="1"/>
    </row>
    <row r="1030" spans="1:6" x14ac:dyDescent="0.25">
      <c r="A1030" s="45" t="s">
        <v>27</v>
      </c>
      <c r="B1030" s="45" t="s">
        <v>28</v>
      </c>
      <c r="C1030" s="45" t="s">
        <v>29</v>
      </c>
      <c r="D1030" s="45" t="s">
        <v>30</v>
      </c>
      <c r="E1030" s="45" t="s">
        <v>31</v>
      </c>
      <c r="F1030" s="45" t="s">
        <v>32</v>
      </c>
    </row>
    <row r="1031" spans="1:6" x14ac:dyDescent="0.25">
      <c r="A1031" s="68">
        <v>90101603</v>
      </c>
      <c r="B1031" s="69" t="s">
        <v>297</v>
      </c>
      <c r="C1031" s="68" t="s">
        <v>68</v>
      </c>
      <c r="D1031" s="68">
        <v>2</v>
      </c>
      <c r="E1031" s="81">
        <v>12000</v>
      </c>
      <c r="F1031" s="56">
        <f>D1031*E1031</f>
        <v>24000</v>
      </c>
    </row>
    <row r="1034" spans="1:6" ht="15.75" thickBot="1" x14ac:dyDescent="0.3"/>
    <row r="1035" spans="1:6" ht="45.75" thickBot="1" x14ac:dyDescent="0.3">
      <c r="A1035" s="37" t="s">
        <v>41</v>
      </c>
      <c r="B1035" s="37" t="s">
        <v>42</v>
      </c>
      <c r="C1035" s="37" t="s">
        <v>43</v>
      </c>
      <c r="D1035" s="37" t="s">
        <v>44</v>
      </c>
      <c r="E1035" s="37" t="s">
        <v>45</v>
      </c>
      <c r="F1035" s="37" t="s">
        <v>46</v>
      </c>
    </row>
    <row r="1036" spans="1:6" ht="45.75" thickBot="1" x14ac:dyDescent="0.3">
      <c r="A1036" s="32" t="s">
        <v>298</v>
      </c>
      <c r="B1036" s="32" t="s">
        <v>299</v>
      </c>
      <c r="C1036" s="33" t="s">
        <v>237</v>
      </c>
      <c r="D1036" s="32" t="s">
        <v>238</v>
      </c>
      <c r="E1036" s="33" t="s">
        <v>51</v>
      </c>
      <c r="F1036" s="33"/>
    </row>
    <row r="1037" spans="1:6" ht="15.75" thickBot="1" x14ac:dyDescent="0.3">
      <c r="A1037" s="123" t="s">
        <v>16</v>
      </c>
      <c r="B1037" s="20" t="s">
        <v>17</v>
      </c>
      <c r="C1037" s="21">
        <v>45082</v>
      </c>
      <c r="D1037" s="123" t="s">
        <v>18</v>
      </c>
      <c r="E1037" s="22" t="s">
        <v>19</v>
      </c>
      <c r="F1037" s="23" t="s">
        <v>20</v>
      </c>
    </row>
    <row r="1038" spans="1:6" ht="15.75" thickBot="1" x14ac:dyDescent="0.3">
      <c r="A1038" s="124"/>
      <c r="B1038" s="20" t="s">
        <v>21</v>
      </c>
      <c r="C1038" s="20">
        <v>2</v>
      </c>
      <c r="D1038" s="124"/>
      <c r="E1038" s="22" t="s">
        <v>22</v>
      </c>
      <c r="F1038" s="23" t="s">
        <v>23</v>
      </c>
    </row>
    <row r="1039" spans="1:6" ht="15.75" thickBot="1" x14ac:dyDescent="0.3">
      <c r="A1039" s="124"/>
      <c r="B1039" s="20" t="s">
        <v>24</v>
      </c>
      <c r="C1039" s="21">
        <v>45102</v>
      </c>
      <c r="D1039" s="124"/>
      <c r="E1039" s="22" t="s">
        <v>25</v>
      </c>
      <c r="F1039" s="23"/>
    </row>
    <row r="1040" spans="1:6" ht="15.75" thickBot="1" x14ac:dyDescent="0.3">
      <c r="A1040" s="125"/>
      <c r="B1040" s="20" t="s">
        <v>21</v>
      </c>
      <c r="C1040" s="20">
        <v>2</v>
      </c>
      <c r="D1040" s="125"/>
      <c r="E1040" s="22" t="s">
        <v>26</v>
      </c>
      <c r="F1040" s="23"/>
    </row>
    <row r="1041" spans="1:6" ht="17.25" thickBot="1" x14ac:dyDescent="0.3">
      <c r="A1041" s="1"/>
      <c r="B1041" s="1"/>
      <c r="C1041" s="1"/>
      <c r="D1041" s="1"/>
      <c r="E1041" s="1"/>
      <c r="F1041" s="1"/>
    </row>
    <row r="1042" spans="1:6" x14ac:dyDescent="0.25">
      <c r="A1042" s="45" t="s">
        <v>27</v>
      </c>
      <c r="B1042" s="45" t="s">
        <v>28</v>
      </c>
      <c r="C1042" s="45" t="s">
        <v>29</v>
      </c>
      <c r="D1042" s="45" t="s">
        <v>30</v>
      </c>
      <c r="E1042" s="45" t="s">
        <v>31</v>
      </c>
      <c r="F1042" s="45" t="s">
        <v>32</v>
      </c>
    </row>
    <row r="1043" spans="1:6" x14ac:dyDescent="0.25">
      <c r="A1043" s="68">
        <v>90101603</v>
      </c>
      <c r="B1043" s="69" t="s">
        <v>300</v>
      </c>
      <c r="C1043" s="68" t="s">
        <v>68</v>
      </c>
      <c r="D1043" s="68">
        <v>1</v>
      </c>
      <c r="E1043" s="81">
        <v>55000</v>
      </c>
      <c r="F1043" s="56">
        <f>D1043*E1043</f>
        <v>55000</v>
      </c>
    </row>
    <row r="1045" spans="1:6" ht="15.75" thickBot="1" x14ac:dyDescent="0.3"/>
    <row r="1046" spans="1:6" ht="45.75" thickBot="1" x14ac:dyDescent="0.3">
      <c r="A1046" s="37" t="s">
        <v>41</v>
      </c>
      <c r="B1046" s="37" t="s">
        <v>42</v>
      </c>
      <c r="C1046" s="37" t="s">
        <v>43</v>
      </c>
      <c r="D1046" s="37" t="s">
        <v>44</v>
      </c>
      <c r="E1046" s="37" t="s">
        <v>45</v>
      </c>
      <c r="F1046" s="37" t="s">
        <v>46</v>
      </c>
    </row>
    <row r="1047" spans="1:6" ht="15.75" thickBot="1" x14ac:dyDescent="0.3">
      <c r="A1047" s="32" t="s">
        <v>302</v>
      </c>
      <c r="B1047" s="32" t="s">
        <v>301</v>
      </c>
      <c r="C1047" s="33" t="s">
        <v>237</v>
      </c>
      <c r="D1047" s="32" t="s">
        <v>253</v>
      </c>
      <c r="E1047" s="33" t="s">
        <v>51</v>
      </c>
      <c r="F1047" s="33"/>
    </row>
    <row r="1048" spans="1:6" ht="15.75" thickBot="1" x14ac:dyDescent="0.3">
      <c r="A1048" s="123" t="s">
        <v>16</v>
      </c>
      <c r="B1048" s="20" t="s">
        <v>17</v>
      </c>
      <c r="C1048" s="21">
        <v>45082</v>
      </c>
      <c r="D1048" s="123" t="s">
        <v>18</v>
      </c>
      <c r="E1048" s="22" t="s">
        <v>19</v>
      </c>
      <c r="F1048" s="23" t="s">
        <v>20</v>
      </c>
    </row>
    <row r="1049" spans="1:6" ht="15.75" thickBot="1" x14ac:dyDescent="0.3">
      <c r="A1049" s="124"/>
      <c r="B1049" s="20" t="s">
        <v>21</v>
      </c>
      <c r="C1049" s="20">
        <v>2</v>
      </c>
      <c r="D1049" s="124"/>
      <c r="E1049" s="22" t="s">
        <v>22</v>
      </c>
      <c r="F1049" s="23" t="s">
        <v>23</v>
      </c>
    </row>
    <row r="1050" spans="1:6" ht="15.75" thickBot="1" x14ac:dyDescent="0.3">
      <c r="A1050" s="124"/>
      <c r="B1050" s="20" t="s">
        <v>24</v>
      </c>
      <c r="C1050" s="21">
        <v>45102</v>
      </c>
      <c r="D1050" s="124"/>
      <c r="E1050" s="22" t="s">
        <v>25</v>
      </c>
      <c r="F1050" s="23"/>
    </row>
    <row r="1051" spans="1:6" ht="15.75" thickBot="1" x14ac:dyDescent="0.3">
      <c r="A1051" s="125"/>
      <c r="B1051" s="20" t="s">
        <v>21</v>
      </c>
      <c r="C1051" s="20">
        <v>2</v>
      </c>
      <c r="D1051" s="125"/>
      <c r="E1051" s="22" t="s">
        <v>26</v>
      </c>
      <c r="F1051" s="23"/>
    </row>
    <row r="1052" spans="1:6" ht="17.25" thickBot="1" x14ac:dyDescent="0.3">
      <c r="A1052" s="1"/>
      <c r="B1052" s="1"/>
      <c r="C1052" s="1"/>
      <c r="D1052" s="1"/>
      <c r="E1052" s="1"/>
      <c r="F1052" s="1"/>
    </row>
    <row r="1053" spans="1:6" x14ac:dyDescent="0.25">
      <c r="A1053" s="45" t="s">
        <v>27</v>
      </c>
      <c r="B1053" s="45" t="s">
        <v>28</v>
      </c>
      <c r="C1053" s="45" t="s">
        <v>29</v>
      </c>
      <c r="D1053" s="45" t="s">
        <v>30</v>
      </c>
      <c r="E1053" s="45" t="s">
        <v>31</v>
      </c>
      <c r="F1053" s="45" t="s">
        <v>32</v>
      </c>
    </row>
    <row r="1054" spans="1:6" ht="63" x14ac:dyDescent="0.25">
      <c r="A1054" s="68">
        <v>90101603</v>
      </c>
      <c r="B1054" s="82" t="s">
        <v>322</v>
      </c>
      <c r="C1054" s="68" t="s">
        <v>68</v>
      </c>
      <c r="D1054" s="68">
        <v>1</v>
      </c>
      <c r="E1054" s="81">
        <v>600000</v>
      </c>
      <c r="F1054" s="56">
        <f>Table41014181728303216313435374145495153555922442743464269[[#This Row],[CANTIDAD TOTAL ESTIMADA]]*Table41014181728303216313435374145495153555922442743464269[[#This Row],[PRECIO UNITARIO ESTIMADO]]</f>
        <v>600000</v>
      </c>
    </row>
    <row r="1055" spans="1:6" ht="16.5" x14ac:dyDescent="0.25">
      <c r="A1055" s="1"/>
      <c r="B1055" s="1"/>
      <c r="C1055" s="1"/>
      <c r="D1055" s="1"/>
      <c r="E1055" s="49" t="s">
        <v>40</v>
      </c>
      <c r="F1055" s="50">
        <f>F1054</f>
        <v>600000</v>
      </c>
    </row>
    <row r="1058" spans="1:6" ht="15.75" thickBot="1" x14ac:dyDescent="0.3"/>
    <row r="1059" spans="1:6" ht="45.75" thickBot="1" x14ac:dyDescent="0.3">
      <c r="A1059" s="37" t="s">
        <v>41</v>
      </c>
      <c r="B1059" s="37" t="s">
        <v>42</v>
      </c>
      <c r="C1059" s="37" t="s">
        <v>43</v>
      </c>
      <c r="D1059" s="37" t="s">
        <v>44</v>
      </c>
      <c r="E1059" s="37" t="s">
        <v>45</v>
      </c>
      <c r="F1059" s="37" t="s">
        <v>46</v>
      </c>
    </row>
    <row r="1060" spans="1:6" ht="30.75" thickBot="1" x14ac:dyDescent="0.3">
      <c r="A1060" s="32" t="s">
        <v>303</v>
      </c>
      <c r="B1060" s="32" t="s">
        <v>303</v>
      </c>
      <c r="C1060" s="33" t="s">
        <v>92</v>
      </c>
      <c r="D1060" s="32" t="s">
        <v>238</v>
      </c>
      <c r="E1060" s="33" t="s">
        <v>51</v>
      </c>
      <c r="F1060" s="33"/>
    </row>
    <row r="1061" spans="1:6" ht="15.75" thickBot="1" x14ac:dyDescent="0.3">
      <c r="A1061" s="123" t="s">
        <v>16</v>
      </c>
      <c r="B1061" s="20" t="s">
        <v>17</v>
      </c>
      <c r="C1061" s="21">
        <v>45082</v>
      </c>
      <c r="D1061" s="123" t="s">
        <v>18</v>
      </c>
      <c r="E1061" s="22" t="s">
        <v>19</v>
      </c>
      <c r="F1061" s="23" t="s">
        <v>20</v>
      </c>
    </row>
    <row r="1062" spans="1:6" ht="15.75" thickBot="1" x14ac:dyDescent="0.3">
      <c r="A1062" s="124"/>
      <c r="B1062" s="20" t="s">
        <v>21</v>
      </c>
      <c r="C1062" s="20">
        <v>2</v>
      </c>
      <c r="D1062" s="124"/>
      <c r="E1062" s="22" t="s">
        <v>22</v>
      </c>
      <c r="F1062" s="23" t="s">
        <v>23</v>
      </c>
    </row>
    <row r="1063" spans="1:6" ht="15.75" thickBot="1" x14ac:dyDescent="0.3">
      <c r="A1063" s="124"/>
      <c r="B1063" s="20" t="s">
        <v>24</v>
      </c>
      <c r="C1063" s="21">
        <v>45102</v>
      </c>
      <c r="D1063" s="124"/>
      <c r="E1063" s="22" t="s">
        <v>25</v>
      </c>
      <c r="F1063" s="23"/>
    </row>
    <row r="1064" spans="1:6" ht="15.75" thickBot="1" x14ac:dyDescent="0.3">
      <c r="A1064" s="125"/>
      <c r="B1064" s="20" t="s">
        <v>21</v>
      </c>
      <c r="C1064" s="20">
        <v>2</v>
      </c>
      <c r="D1064" s="125"/>
      <c r="E1064" s="22" t="s">
        <v>26</v>
      </c>
      <c r="F1064" s="23"/>
    </row>
    <row r="1065" spans="1:6" ht="17.25" thickBot="1" x14ac:dyDescent="0.3">
      <c r="A1065" s="1"/>
      <c r="B1065" s="1"/>
      <c r="C1065" s="1"/>
      <c r="D1065" s="1"/>
      <c r="E1065" s="1"/>
      <c r="F1065" s="1"/>
    </row>
    <row r="1066" spans="1:6" x14ac:dyDescent="0.25">
      <c r="A1066" s="45" t="s">
        <v>27</v>
      </c>
      <c r="B1066" s="45" t="s">
        <v>28</v>
      </c>
      <c r="C1066" s="45" t="s">
        <v>29</v>
      </c>
      <c r="D1066" s="45" t="s">
        <v>30</v>
      </c>
      <c r="E1066" s="45" t="s">
        <v>31</v>
      </c>
      <c r="F1066" s="45" t="s">
        <v>32</v>
      </c>
    </row>
    <row r="1067" spans="1:6" x14ac:dyDescent="0.25">
      <c r="A1067" s="68">
        <v>52152203</v>
      </c>
      <c r="B1067" s="100" t="s">
        <v>313</v>
      </c>
      <c r="C1067" s="68" t="s">
        <v>68</v>
      </c>
      <c r="D1067" s="70">
        <v>7</v>
      </c>
      <c r="E1067" s="70">
        <v>2500</v>
      </c>
      <c r="F1067" s="56">
        <f>Table4101418172830321631343537414549515355592244274346426971[[#This Row],[CANTIDAD TOTAL ESTIMADA]]*Table4101418172830321631343537414549515355592244274346426971[[#This Row],[PRECIO UNITARIO ESTIMADO]]</f>
        <v>17500</v>
      </c>
    </row>
    <row r="1068" spans="1:6" x14ac:dyDescent="0.25">
      <c r="A1068" s="85">
        <v>47131701</v>
      </c>
      <c r="B1068" s="101" t="s">
        <v>304</v>
      </c>
      <c r="C1068" s="68" t="s">
        <v>68</v>
      </c>
      <c r="D1068" s="70">
        <v>7</v>
      </c>
      <c r="E1068" s="81">
        <v>6000</v>
      </c>
      <c r="F1068" s="56">
        <f>Table4101418172830321631343537414549515355592244274346426971[[#This Row],[CANTIDAD TOTAL ESTIMADA]]*Table4101418172830321631343537414549515355592244274346426971[[#This Row],[PRECIO UNITARIO ESTIMADO]]</f>
        <v>42000</v>
      </c>
    </row>
    <row r="1069" spans="1:6" ht="15.75" x14ac:dyDescent="0.25">
      <c r="A1069" s="68">
        <v>47121702</v>
      </c>
      <c r="B1069" s="82" t="s">
        <v>305</v>
      </c>
      <c r="C1069" s="68" t="s">
        <v>68</v>
      </c>
      <c r="D1069" s="68">
        <v>7</v>
      </c>
      <c r="E1069" s="81">
        <v>5000</v>
      </c>
      <c r="F1069" s="56">
        <f>Table4101418172830321631343537414549515355592244274346426971[[#This Row],[CANTIDAD TOTAL ESTIMADA]]*Table4101418172830321631343537414549515355592244274346426971[[#This Row],[PRECIO UNITARIO ESTIMADO]]</f>
        <v>35000</v>
      </c>
    </row>
    <row r="1070" spans="1:6" ht="16.5" x14ac:dyDescent="0.25">
      <c r="A1070" s="1"/>
      <c r="B1070" s="1"/>
      <c r="C1070" s="1"/>
      <c r="D1070" s="1"/>
      <c r="E1070" s="49" t="s">
        <v>40</v>
      </c>
      <c r="F1070" s="50">
        <f>SUM(F1067:F1069)</f>
        <v>94500</v>
      </c>
    </row>
    <row r="1073" spans="1:6" ht="15.75" thickBot="1" x14ac:dyDescent="0.3"/>
    <row r="1074" spans="1:6" ht="45.75" thickBot="1" x14ac:dyDescent="0.3">
      <c r="A1074" s="37" t="s">
        <v>41</v>
      </c>
      <c r="B1074" s="37" t="s">
        <v>42</v>
      </c>
      <c r="C1074" s="37" t="s">
        <v>43</v>
      </c>
      <c r="D1074" s="37" t="s">
        <v>44</v>
      </c>
      <c r="E1074" s="37" t="s">
        <v>45</v>
      </c>
      <c r="F1074" s="37" t="s">
        <v>46</v>
      </c>
    </row>
    <row r="1075" spans="1:6" ht="30.75" thickBot="1" x14ac:dyDescent="0.3">
      <c r="A1075" s="32" t="s">
        <v>311</v>
      </c>
      <c r="B1075" s="32" t="s">
        <v>311</v>
      </c>
      <c r="C1075" s="33" t="s">
        <v>92</v>
      </c>
      <c r="D1075" s="32" t="s">
        <v>245</v>
      </c>
      <c r="E1075" s="33" t="s">
        <v>51</v>
      </c>
      <c r="F1075" s="33"/>
    </row>
    <row r="1076" spans="1:6" ht="15.75" thickBot="1" x14ac:dyDescent="0.3">
      <c r="A1076" s="123" t="s">
        <v>16</v>
      </c>
      <c r="B1076" s="20" t="s">
        <v>17</v>
      </c>
      <c r="C1076" s="21">
        <v>45082</v>
      </c>
      <c r="D1076" s="123" t="s">
        <v>18</v>
      </c>
      <c r="E1076" s="22" t="s">
        <v>19</v>
      </c>
      <c r="F1076" s="23" t="s">
        <v>20</v>
      </c>
    </row>
    <row r="1077" spans="1:6" ht="15.75" thickBot="1" x14ac:dyDescent="0.3">
      <c r="A1077" s="124"/>
      <c r="B1077" s="20" t="s">
        <v>21</v>
      </c>
      <c r="C1077" s="20">
        <v>2</v>
      </c>
      <c r="D1077" s="124"/>
      <c r="E1077" s="22" t="s">
        <v>22</v>
      </c>
      <c r="F1077" s="23" t="s">
        <v>23</v>
      </c>
    </row>
    <row r="1078" spans="1:6" ht="15.75" thickBot="1" x14ac:dyDescent="0.3">
      <c r="A1078" s="124"/>
      <c r="B1078" s="20" t="s">
        <v>24</v>
      </c>
      <c r="C1078" s="21">
        <v>45102</v>
      </c>
      <c r="D1078" s="124"/>
      <c r="E1078" s="22" t="s">
        <v>25</v>
      </c>
      <c r="F1078" s="23"/>
    </row>
    <row r="1079" spans="1:6" ht="15.75" thickBot="1" x14ac:dyDescent="0.3">
      <c r="A1079" s="125"/>
      <c r="B1079" s="20" t="s">
        <v>21</v>
      </c>
      <c r="C1079" s="20">
        <v>2</v>
      </c>
      <c r="D1079" s="125"/>
      <c r="E1079" s="22" t="s">
        <v>26</v>
      </c>
      <c r="F1079" s="23"/>
    </row>
    <row r="1080" spans="1:6" ht="17.25" thickBot="1" x14ac:dyDescent="0.3">
      <c r="A1080" s="1"/>
      <c r="B1080" s="1"/>
      <c r="C1080" s="1"/>
      <c r="D1080" s="1"/>
      <c r="E1080" s="1"/>
      <c r="F1080" s="1"/>
    </row>
    <row r="1081" spans="1:6" x14ac:dyDescent="0.25">
      <c r="A1081" s="45" t="s">
        <v>27</v>
      </c>
      <c r="B1081" s="45" t="s">
        <v>28</v>
      </c>
      <c r="C1081" s="45" t="s">
        <v>29</v>
      </c>
      <c r="D1081" s="45" t="s">
        <v>30</v>
      </c>
      <c r="E1081" s="45" t="s">
        <v>31</v>
      </c>
      <c r="F1081" s="45" t="s">
        <v>32</v>
      </c>
    </row>
    <row r="1082" spans="1:6" x14ac:dyDescent="0.25">
      <c r="A1082" s="85">
        <v>46191501</v>
      </c>
      <c r="B1082" s="84" t="s">
        <v>312</v>
      </c>
      <c r="C1082" s="68" t="s">
        <v>68</v>
      </c>
      <c r="D1082" s="70">
        <v>25</v>
      </c>
      <c r="E1082" s="81">
        <v>10000</v>
      </c>
      <c r="F1082" s="56">
        <f>E1082*D1082</f>
        <v>250000</v>
      </c>
    </row>
    <row r="1083" spans="1:6" ht="16.5" x14ac:dyDescent="0.25">
      <c r="A1083" s="1"/>
      <c r="B1083" s="1"/>
      <c r="C1083" s="1"/>
      <c r="D1083" s="1"/>
      <c r="E1083" s="49" t="s">
        <v>40</v>
      </c>
      <c r="F1083" s="50">
        <f>SUM(F1082:F1082)</f>
        <v>250000</v>
      </c>
    </row>
    <row r="1084" spans="1:6" ht="9" customHeight="1" x14ac:dyDescent="0.25"/>
    <row r="1085" spans="1:6" ht="15.75" thickBot="1" x14ac:dyDescent="0.3"/>
    <row r="1086" spans="1:6" ht="23.25" thickBot="1" x14ac:dyDescent="0.3">
      <c r="A1086" s="86" t="s">
        <v>41</v>
      </c>
      <c r="B1086" s="86" t="s">
        <v>42</v>
      </c>
      <c r="C1086" s="86" t="s">
        <v>314</v>
      </c>
      <c r="D1086" s="86" t="s">
        <v>44</v>
      </c>
      <c r="E1086" s="86" t="s">
        <v>45</v>
      </c>
      <c r="F1086" s="86" t="s">
        <v>46</v>
      </c>
    </row>
    <row r="1087" spans="1:6" ht="15.75" thickBot="1" x14ac:dyDescent="0.3">
      <c r="A1087" s="87" t="s">
        <v>317</v>
      </c>
      <c r="B1087" s="87" t="s">
        <v>317</v>
      </c>
      <c r="C1087" s="87" t="s">
        <v>251</v>
      </c>
      <c r="D1087" s="87" t="s">
        <v>50</v>
      </c>
      <c r="E1087" s="87" t="s">
        <v>51</v>
      </c>
      <c r="F1087" s="87"/>
    </row>
    <row r="1088" spans="1:6" ht="15.75" thickBot="1" x14ac:dyDescent="0.3">
      <c r="A1088" s="134" t="s">
        <v>16</v>
      </c>
      <c r="B1088" s="88" t="s">
        <v>17</v>
      </c>
      <c r="C1088" s="89">
        <v>44972</v>
      </c>
      <c r="D1088" s="134" t="s">
        <v>18</v>
      </c>
      <c r="E1088" s="90" t="s">
        <v>19</v>
      </c>
      <c r="F1088" s="91" t="s">
        <v>20</v>
      </c>
    </row>
    <row r="1089" spans="1:6" ht="15.75" thickBot="1" x14ac:dyDescent="0.3">
      <c r="A1089" s="135"/>
      <c r="B1089" s="88" t="s">
        <v>21</v>
      </c>
      <c r="C1089" s="92">
        <f>IF(C1088="","",IF(AND(MONTH(C1088)&gt;=1,MONTH(C1088)&lt;=3),1,IF(AND(MONTH(C1088)&gt;=4,MONTH(C1088)&lt;=6),2,IF(AND(MONTH(C1088)&gt;=7,MONTH(C1088)&lt;=9),3,4))))</f>
        <v>1</v>
      </c>
      <c r="D1089" s="135"/>
      <c r="E1089" s="90" t="s">
        <v>22</v>
      </c>
      <c r="F1089" s="91" t="s">
        <v>23</v>
      </c>
    </row>
    <row r="1090" spans="1:6" ht="15.75" thickBot="1" x14ac:dyDescent="0.3">
      <c r="A1090" s="135"/>
      <c r="B1090" s="88" t="s">
        <v>24</v>
      </c>
      <c r="C1090" s="89">
        <v>45099</v>
      </c>
      <c r="D1090" s="135"/>
      <c r="E1090" s="90" t="s">
        <v>25</v>
      </c>
      <c r="F1090" s="91"/>
    </row>
    <row r="1091" spans="1:6" ht="15.75" thickBot="1" x14ac:dyDescent="0.3">
      <c r="A1091" s="135"/>
      <c r="B1091" s="88" t="s">
        <v>21</v>
      </c>
      <c r="C1091" s="92">
        <f>IF(C1090="","",IF(AND(MONTH(C1090)&gt;=1,MONTH(C1090)&lt;=3),1,IF(AND(MONTH(C1090)&gt;=4,MONTH(C1090)&lt;=6),2,IF(AND(MONTH(C1090)&gt;=7,MONTH(C1090)&lt;=9),3,4))))</f>
        <v>2</v>
      </c>
      <c r="D1091" s="135"/>
      <c r="E1091" s="90" t="s">
        <v>26</v>
      </c>
      <c r="F1091" s="91"/>
    </row>
    <row r="1092" spans="1:6" ht="17.25" thickBot="1" x14ac:dyDescent="0.3">
      <c r="A1092" s="1"/>
      <c r="B1092" s="1"/>
      <c r="C1092" s="1"/>
      <c r="D1092" s="1"/>
      <c r="E1092" s="1"/>
      <c r="F1092" s="1"/>
    </row>
    <row r="1093" spans="1:6" ht="15.75" thickBot="1" x14ac:dyDescent="0.3">
      <c r="A1093" s="83" t="s">
        <v>27</v>
      </c>
      <c r="B1093" s="83" t="s">
        <v>28</v>
      </c>
      <c r="C1093" s="83" t="s">
        <v>29</v>
      </c>
      <c r="D1093" s="83" t="s">
        <v>30</v>
      </c>
      <c r="E1093" s="83" t="s">
        <v>31</v>
      </c>
      <c r="F1093" s="83" t="s">
        <v>32</v>
      </c>
    </row>
    <row r="1094" spans="1:6" ht="30" x14ac:dyDescent="0.25">
      <c r="A1094" s="94">
        <v>30171501</v>
      </c>
      <c r="B1094" s="93" t="s">
        <v>318</v>
      </c>
      <c r="C1094" s="95" t="str">
        <f>IFERROR(VLOOKUP("UD",'[2]Informacion '!P:Q,2,FALSE),"")</f>
        <v>Unidad</v>
      </c>
      <c r="D1094" s="94">
        <v>1</v>
      </c>
      <c r="E1094" s="96">
        <v>134000</v>
      </c>
      <c r="F1094" s="97">
        <f t="shared" ref="F1094" ca="1" si="4">INDIRECT(ADDRESS(ROW(),COLUMN()-2,4))*INDIRECT(ADDRESS(ROW(),COLUMN()-1,4))</f>
        <v>134000</v>
      </c>
    </row>
    <row r="1095" spans="1:6" ht="16.5" x14ac:dyDescent="0.25">
      <c r="A1095" s="1"/>
      <c r="B1095" s="1"/>
      <c r="C1095" s="1"/>
      <c r="D1095" s="1"/>
      <c r="E1095" s="29" t="s">
        <v>40</v>
      </c>
      <c r="F1095" s="98">
        <f ca="1">SUM(Table3375[MONTO TOTAL ESTIMADO])</f>
        <v>134000</v>
      </c>
    </row>
    <row r="1098" spans="1:6" ht="15.75" thickBot="1" x14ac:dyDescent="0.3"/>
    <row r="1099" spans="1:6" ht="45.75" thickBot="1" x14ac:dyDescent="0.3">
      <c r="A1099" s="37" t="s">
        <v>41</v>
      </c>
      <c r="B1099" s="37" t="s">
        <v>42</v>
      </c>
      <c r="C1099" s="37" t="s">
        <v>43</v>
      </c>
      <c r="D1099" s="37" t="s">
        <v>44</v>
      </c>
      <c r="E1099" s="37" t="s">
        <v>45</v>
      </c>
      <c r="F1099" s="37" t="s">
        <v>46</v>
      </c>
    </row>
    <row r="1100" spans="1:6" ht="30.75" thickBot="1" x14ac:dyDescent="0.3">
      <c r="A1100" s="32" t="s">
        <v>331</v>
      </c>
      <c r="B1100" s="32" t="s">
        <v>329</v>
      </c>
      <c r="C1100" s="33" t="s">
        <v>237</v>
      </c>
      <c r="D1100" s="32" t="s">
        <v>238</v>
      </c>
      <c r="E1100" s="33" t="s">
        <v>51</v>
      </c>
      <c r="F1100" s="33"/>
    </row>
    <row r="1101" spans="1:6" ht="15.75" thickBot="1" x14ac:dyDescent="0.3">
      <c r="A1101" s="123" t="s">
        <v>16</v>
      </c>
      <c r="B1101" s="20" t="s">
        <v>17</v>
      </c>
      <c r="C1101" s="21">
        <v>44962</v>
      </c>
      <c r="D1101" s="123" t="s">
        <v>18</v>
      </c>
      <c r="E1101" s="22" t="s">
        <v>19</v>
      </c>
      <c r="F1101" s="23" t="s">
        <v>20</v>
      </c>
    </row>
    <row r="1102" spans="1:6" ht="15.75" thickBot="1" x14ac:dyDescent="0.3">
      <c r="A1102" s="124"/>
      <c r="B1102" s="20" t="s">
        <v>21</v>
      </c>
      <c r="C1102" s="20">
        <v>1</v>
      </c>
      <c r="D1102" s="124"/>
      <c r="E1102" s="22" t="s">
        <v>22</v>
      </c>
      <c r="F1102" s="23" t="s">
        <v>23</v>
      </c>
    </row>
    <row r="1103" spans="1:6" ht="15.75" thickBot="1" x14ac:dyDescent="0.3">
      <c r="A1103" s="124"/>
      <c r="B1103" s="20" t="s">
        <v>24</v>
      </c>
      <c r="C1103" s="21">
        <v>44982</v>
      </c>
      <c r="D1103" s="124"/>
      <c r="E1103" s="22" t="s">
        <v>25</v>
      </c>
      <c r="F1103" s="23"/>
    </row>
    <row r="1104" spans="1:6" ht="15.75" thickBot="1" x14ac:dyDescent="0.3">
      <c r="A1104" s="125"/>
      <c r="B1104" s="20" t="s">
        <v>21</v>
      </c>
      <c r="C1104" s="20">
        <v>1</v>
      </c>
      <c r="D1104" s="125"/>
      <c r="E1104" s="22" t="s">
        <v>26</v>
      </c>
      <c r="F1104" s="23"/>
    </row>
    <row r="1105" spans="1:6" ht="17.25" thickBot="1" x14ac:dyDescent="0.3">
      <c r="A1105" s="1"/>
      <c r="B1105" s="1"/>
      <c r="C1105" s="1"/>
      <c r="D1105" s="1"/>
      <c r="E1105" s="1"/>
      <c r="F1105" s="1"/>
    </row>
    <row r="1106" spans="1:6" x14ac:dyDescent="0.25">
      <c r="A1106" s="45" t="s">
        <v>27</v>
      </c>
      <c r="B1106" s="45" t="s">
        <v>28</v>
      </c>
      <c r="C1106" s="45" t="s">
        <v>29</v>
      </c>
      <c r="D1106" s="45" t="s">
        <v>30</v>
      </c>
      <c r="E1106" s="45" t="s">
        <v>31</v>
      </c>
      <c r="F1106" s="45" t="s">
        <v>32</v>
      </c>
    </row>
    <row r="1107" spans="1:6" x14ac:dyDescent="0.25">
      <c r="A1107" s="68">
        <v>90101603</v>
      </c>
      <c r="B1107" s="69" t="s">
        <v>330</v>
      </c>
      <c r="C1107" s="68" t="s">
        <v>68</v>
      </c>
      <c r="D1107" s="68">
        <v>6</v>
      </c>
      <c r="E1107" s="81">
        <v>9000</v>
      </c>
      <c r="F1107" s="56">
        <f>D1107*E1107</f>
        <v>54000</v>
      </c>
    </row>
    <row r="1110" spans="1:6" ht="15.75" thickBot="1" x14ac:dyDescent="0.3"/>
    <row r="1111" spans="1:6" ht="45.75" thickBot="1" x14ac:dyDescent="0.3">
      <c r="A1111" s="37" t="s">
        <v>41</v>
      </c>
      <c r="B1111" s="37" t="s">
        <v>42</v>
      </c>
      <c r="C1111" s="37" t="s">
        <v>43</v>
      </c>
      <c r="D1111" s="37" t="s">
        <v>44</v>
      </c>
      <c r="E1111" s="37" t="s">
        <v>45</v>
      </c>
      <c r="F1111" s="37" t="s">
        <v>46</v>
      </c>
    </row>
    <row r="1112" spans="1:6" ht="30.75" thickBot="1" x14ac:dyDescent="0.3">
      <c r="A1112" s="32" t="s">
        <v>332</v>
      </c>
      <c r="B1112" s="32" t="s">
        <v>329</v>
      </c>
      <c r="C1112" s="33" t="s">
        <v>237</v>
      </c>
      <c r="D1112" s="32" t="s">
        <v>238</v>
      </c>
      <c r="E1112" s="33" t="s">
        <v>51</v>
      </c>
      <c r="F1112" s="33"/>
    </row>
    <row r="1113" spans="1:6" ht="15.75" thickBot="1" x14ac:dyDescent="0.3">
      <c r="A1113" s="123" t="s">
        <v>16</v>
      </c>
      <c r="B1113" s="20" t="s">
        <v>17</v>
      </c>
      <c r="C1113" s="21">
        <v>45021</v>
      </c>
      <c r="D1113" s="123" t="s">
        <v>18</v>
      </c>
      <c r="E1113" s="22" t="s">
        <v>19</v>
      </c>
      <c r="F1113" s="23" t="s">
        <v>20</v>
      </c>
    </row>
    <row r="1114" spans="1:6" ht="15.75" thickBot="1" x14ac:dyDescent="0.3">
      <c r="A1114" s="124"/>
      <c r="B1114" s="20" t="s">
        <v>21</v>
      </c>
      <c r="C1114" s="20">
        <v>1</v>
      </c>
      <c r="D1114" s="124"/>
      <c r="E1114" s="22" t="s">
        <v>22</v>
      </c>
      <c r="F1114" s="23" t="s">
        <v>23</v>
      </c>
    </row>
    <row r="1115" spans="1:6" ht="15.75" thickBot="1" x14ac:dyDescent="0.3">
      <c r="A1115" s="124"/>
      <c r="B1115" s="20" t="s">
        <v>24</v>
      </c>
      <c r="C1115" s="21">
        <v>45041</v>
      </c>
      <c r="D1115" s="124"/>
      <c r="E1115" s="22" t="s">
        <v>25</v>
      </c>
      <c r="F1115" s="23"/>
    </row>
    <row r="1116" spans="1:6" ht="15.75" thickBot="1" x14ac:dyDescent="0.3">
      <c r="A1116" s="125"/>
      <c r="B1116" s="20" t="s">
        <v>21</v>
      </c>
      <c r="C1116" s="20">
        <v>1</v>
      </c>
      <c r="D1116" s="125"/>
      <c r="E1116" s="22" t="s">
        <v>26</v>
      </c>
      <c r="F1116" s="23"/>
    </row>
    <row r="1117" spans="1:6" ht="17.25" thickBot="1" x14ac:dyDescent="0.3">
      <c r="A1117" s="1"/>
      <c r="B1117" s="1"/>
      <c r="C1117" s="1"/>
      <c r="D1117" s="1"/>
      <c r="E1117" s="1"/>
      <c r="F1117" s="1"/>
    </row>
    <row r="1118" spans="1:6" x14ac:dyDescent="0.25">
      <c r="A1118" s="45" t="s">
        <v>27</v>
      </c>
      <c r="B1118" s="45" t="s">
        <v>28</v>
      </c>
      <c r="C1118" s="45" t="s">
        <v>29</v>
      </c>
      <c r="D1118" s="45" t="s">
        <v>30</v>
      </c>
      <c r="E1118" s="45" t="s">
        <v>31</v>
      </c>
      <c r="F1118" s="45" t="s">
        <v>32</v>
      </c>
    </row>
    <row r="1119" spans="1:6" x14ac:dyDescent="0.25">
      <c r="A1119" s="68">
        <v>90101603</v>
      </c>
      <c r="B1119" s="69" t="s">
        <v>330</v>
      </c>
      <c r="C1119" s="68" t="s">
        <v>68</v>
      </c>
      <c r="D1119" s="68">
        <v>6</v>
      </c>
      <c r="E1119" s="81">
        <v>9000</v>
      </c>
      <c r="F1119" s="56">
        <f>D1119*E1119</f>
        <v>54000</v>
      </c>
    </row>
    <row r="1122" spans="1:6" ht="15.75" thickBot="1" x14ac:dyDescent="0.3"/>
    <row r="1123" spans="1:6" ht="45.75" thickBot="1" x14ac:dyDescent="0.3">
      <c r="A1123" s="37" t="s">
        <v>41</v>
      </c>
      <c r="B1123" s="37" t="s">
        <v>42</v>
      </c>
      <c r="C1123" s="37" t="s">
        <v>43</v>
      </c>
      <c r="D1123" s="37" t="s">
        <v>44</v>
      </c>
      <c r="E1123" s="37" t="s">
        <v>45</v>
      </c>
      <c r="F1123" s="37" t="s">
        <v>46</v>
      </c>
    </row>
    <row r="1124" spans="1:6" ht="30.75" thickBot="1" x14ac:dyDescent="0.3">
      <c r="A1124" s="32" t="s">
        <v>333</v>
      </c>
      <c r="B1124" s="32" t="s">
        <v>329</v>
      </c>
      <c r="C1124" s="33" t="s">
        <v>237</v>
      </c>
      <c r="D1124" s="32" t="s">
        <v>238</v>
      </c>
      <c r="E1124" s="33" t="s">
        <v>51</v>
      </c>
      <c r="F1124" s="33"/>
    </row>
    <row r="1125" spans="1:6" ht="15.75" thickBot="1" x14ac:dyDescent="0.3">
      <c r="A1125" s="123" t="s">
        <v>16</v>
      </c>
      <c r="B1125" s="20" t="s">
        <v>17</v>
      </c>
      <c r="C1125" s="21">
        <v>45112</v>
      </c>
      <c r="D1125" s="123" t="s">
        <v>18</v>
      </c>
      <c r="E1125" s="22" t="s">
        <v>19</v>
      </c>
      <c r="F1125" s="23" t="s">
        <v>20</v>
      </c>
    </row>
    <row r="1126" spans="1:6" ht="15.75" thickBot="1" x14ac:dyDescent="0.3">
      <c r="A1126" s="124"/>
      <c r="B1126" s="20" t="s">
        <v>21</v>
      </c>
      <c r="C1126" s="20">
        <v>1</v>
      </c>
      <c r="D1126" s="124"/>
      <c r="E1126" s="22" t="s">
        <v>22</v>
      </c>
      <c r="F1126" s="23" t="s">
        <v>23</v>
      </c>
    </row>
    <row r="1127" spans="1:6" ht="15.75" thickBot="1" x14ac:dyDescent="0.3">
      <c r="A1127" s="124"/>
      <c r="B1127" s="20" t="s">
        <v>24</v>
      </c>
      <c r="C1127" s="21">
        <v>45132</v>
      </c>
      <c r="D1127" s="124"/>
      <c r="E1127" s="22" t="s">
        <v>25</v>
      </c>
      <c r="F1127" s="23"/>
    </row>
    <row r="1128" spans="1:6" ht="15.75" thickBot="1" x14ac:dyDescent="0.3">
      <c r="A1128" s="125"/>
      <c r="B1128" s="20" t="s">
        <v>21</v>
      </c>
      <c r="C1128" s="20">
        <v>1</v>
      </c>
      <c r="D1128" s="125"/>
      <c r="E1128" s="22" t="s">
        <v>26</v>
      </c>
      <c r="F1128" s="23"/>
    </row>
    <row r="1129" spans="1:6" ht="17.25" thickBot="1" x14ac:dyDescent="0.3">
      <c r="A1129" s="1"/>
      <c r="B1129" s="1"/>
      <c r="C1129" s="1"/>
      <c r="D1129" s="1"/>
      <c r="E1129" s="1"/>
      <c r="F1129" s="1"/>
    </row>
    <row r="1130" spans="1:6" x14ac:dyDescent="0.25">
      <c r="A1130" s="45" t="s">
        <v>27</v>
      </c>
      <c r="B1130" s="45" t="s">
        <v>28</v>
      </c>
      <c r="C1130" s="45" t="s">
        <v>29</v>
      </c>
      <c r="D1130" s="45" t="s">
        <v>30</v>
      </c>
      <c r="E1130" s="45" t="s">
        <v>31</v>
      </c>
      <c r="F1130" s="45" t="s">
        <v>32</v>
      </c>
    </row>
    <row r="1131" spans="1:6" x14ac:dyDescent="0.25">
      <c r="A1131" s="68">
        <v>90101603</v>
      </c>
      <c r="B1131" s="69" t="s">
        <v>330</v>
      </c>
      <c r="C1131" s="68" t="s">
        <v>68</v>
      </c>
      <c r="D1131" s="68">
        <v>6</v>
      </c>
      <c r="E1131" s="81">
        <v>9000</v>
      </c>
      <c r="F1131" s="56">
        <f>D1131*E1131</f>
        <v>54000</v>
      </c>
    </row>
    <row r="1133" spans="1:6" ht="15.75" thickBot="1" x14ac:dyDescent="0.3"/>
    <row r="1134" spans="1:6" ht="45.75" thickBot="1" x14ac:dyDescent="0.3">
      <c r="A1134" s="37" t="s">
        <v>41</v>
      </c>
      <c r="B1134" s="37" t="s">
        <v>42</v>
      </c>
      <c r="C1134" s="37" t="s">
        <v>43</v>
      </c>
      <c r="D1134" s="37" t="s">
        <v>44</v>
      </c>
      <c r="E1134" s="37" t="s">
        <v>45</v>
      </c>
      <c r="F1134" s="37" t="s">
        <v>46</v>
      </c>
    </row>
    <row r="1135" spans="1:6" ht="30.75" thickBot="1" x14ac:dyDescent="0.3">
      <c r="A1135" s="32" t="s">
        <v>334</v>
      </c>
      <c r="B1135" s="32" t="s">
        <v>329</v>
      </c>
      <c r="C1135" s="33" t="s">
        <v>237</v>
      </c>
      <c r="D1135" s="32" t="s">
        <v>238</v>
      </c>
      <c r="E1135" s="33" t="s">
        <v>51</v>
      </c>
      <c r="F1135" s="33"/>
    </row>
    <row r="1136" spans="1:6" ht="15.75" thickBot="1" x14ac:dyDescent="0.3">
      <c r="A1136" s="123" t="s">
        <v>16</v>
      </c>
      <c r="B1136" s="20" t="s">
        <v>17</v>
      </c>
      <c r="C1136" s="21">
        <v>45204</v>
      </c>
      <c r="D1136" s="123" t="s">
        <v>18</v>
      </c>
      <c r="E1136" s="22" t="s">
        <v>19</v>
      </c>
      <c r="F1136" s="23" t="s">
        <v>20</v>
      </c>
    </row>
    <row r="1137" spans="1:6" ht="15.75" thickBot="1" x14ac:dyDescent="0.3">
      <c r="A1137" s="124"/>
      <c r="B1137" s="20" t="s">
        <v>21</v>
      </c>
      <c r="C1137" s="20">
        <v>1</v>
      </c>
      <c r="D1137" s="124"/>
      <c r="E1137" s="22" t="s">
        <v>22</v>
      </c>
      <c r="F1137" s="23" t="s">
        <v>23</v>
      </c>
    </row>
    <row r="1138" spans="1:6" ht="15.75" thickBot="1" x14ac:dyDescent="0.3">
      <c r="A1138" s="124"/>
      <c r="B1138" s="20" t="s">
        <v>24</v>
      </c>
      <c r="C1138" s="21">
        <v>45224</v>
      </c>
      <c r="D1138" s="124"/>
      <c r="E1138" s="22" t="s">
        <v>25</v>
      </c>
      <c r="F1138" s="23"/>
    </row>
    <row r="1139" spans="1:6" ht="15.75" thickBot="1" x14ac:dyDescent="0.3">
      <c r="A1139" s="125"/>
      <c r="B1139" s="20" t="s">
        <v>21</v>
      </c>
      <c r="C1139" s="20">
        <v>1</v>
      </c>
      <c r="D1139" s="125"/>
      <c r="E1139" s="22" t="s">
        <v>26</v>
      </c>
      <c r="F1139" s="23"/>
    </row>
    <row r="1140" spans="1:6" ht="17.25" thickBot="1" x14ac:dyDescent="0.3">
      <c r="A1140" s="1"/>
      <c r="B1140" s="1"/>
      <c r="C1140" s="1"/>
      <c r="D1140" s="1"/>
      <c r="E1140" s="1"/>
      <c r="F1140" s="1"/>
    </row>
    <row r="1141" spans="1:6" x14ac:dyDescent="0.25">
      <c r="A1141" s="45" t="s">
        <v>27</v>
      </c>
      <c r="B1141" s="45" t="s">
        <v>28</v>
      </c>
      <c r="C1141" s="45" t="s">
        <v>29</v>
      </c>
      <c r="D1141" s="45" t="s">
        <v>30</v>
      </c>
      <c r="E1141" s="45" t="s">
        <v>31</v>
      </c>
      <c r="F1141" s="45" t="s">
        <v>32</v>
      </c>
    </row>
    <row r="1142" spans="1:6" x14ac:dyDescent="0.25">
      <c r="A1142" s="68">
        <v>90101603</v>
      </c>
      <c r="B1142" s="69" t="s">
        <v>330</v>
      </c>
      <c r="C1142" s="68" t="s">
        <v>68</v>
      </c>
      <c r="D1142" s="68">
        <v>6</v>
      </c>
      <c r="E1142" s="81">
        <v>9000</v>
      </c>
      <c r="F1142" s="56">
        <f>D1142*E1142</f>
        <v>54000</v>
      </c>
    </row>
    <row r="1145" spans="1:6" ht="15.75" thickBot="1" x14ac:dyDescent="0.3"/>
    <row r="1146" spans="1:6" ht="45.75" thickBot="1" x14ac:dyDescent="0.3">
      <c r="A1146" s="37" t="s">
        <v>41</v>
      </c>
      <c r="B1146" s="37" t="s">
        <v>42</v>
      </c>
      <c r="C1146" s="37" t="s">
        <v>43</v>
      </c>
      <c r="D1146" s="37" t="s">
        <v>44</v>
      </c>
      <c r="E1146" s="37" t="s">
        <v>45</v>
      </c>
      <c r="F1146" s="37" t="s">
        <v>46</v>
      </c>
    </row>
    <row r="1147" spans="1:6" ht="30.75" thickBot="1" x14ac:dyDescent="0.3">
      <c r="A1147" s="32" t="s">
        <v>335</v>
      </c>
      <c r="B1147" s="32" t="s">
        <v>329</v>
      </c>
      <c r="C1147" s="33" t="s">
        <v>237</v>
      </c>
      <c r="D1147" s="32" t="s">
        <v>238</v>
      </c>
      <c r="E1147" s="33" t="s">
        <v>51</v>
      </c>
      <c r="F1147" s="33"/>
    </row>
    <row r="1148" spans="1:6" ht="15.75" thickBot="1" x14ac:dyDescent="0.3">
      <c r="A1148" s="123" t="s">
        <v>16</v>
      </c>
      <c r="B1148" s="20" t="s">
        <v>17</v>
      </c>
      <c r="C1148" s="21">
        <v>44962</v>
      </c>
      <c r="D1148" s="123" t="s">
        <v>18</v>
      </c>
      <c r="E1148" s="22" t="s">
        <v>19</v>
      </c>
      <c r="F1148" s="23" t="s">
        <v>20</v>
      </c>
    </row>
    <row r="1149" spans="1:6" ht="15.75" thickBot="1" x14ac:dyDescent="0.3">
      <c r="A1149" s="124"/>
      <c r="B1149" s="20" t="s">
        <v>21</v>
      </c>
      <c r="C1149" s="20">
        <v>1</v>
      </c>
      <c r="D1149" s="124"/>
      <c r="E1149" s="22" t="s">
        <v>22</v>
      </c>
      <c r="F1149" s="23" t="s">
        <v>23</v>
      </c>
    </row>
    <row r="1150" spans="1:6" ht="15.75" thickBot="1" x14ac:dyDescent="0.3">
      <c r="A1150" s="124"/>
      <c r="B1150" s="20" t="s">
        <v>24</v>
      </c>
      <c r="C1150" s="21">
        <v>44982</v>
      </c>
      <c r="D1150" s="124"/>
      <c r="E1150" s="22" t="s">
        <v>25</v>
      </c>
      <c r="F1150" s="23"/>
    </row>
    <row r="1151" spans="1:6" ht="15.75" thickBot="1" x14ac:dyDescent="0.3">
      <c r="A1151" s="125"/>
      <c r="B1151" s="20" t="s">
        <v>21</v>
      </c>
      <c r="C1151" s="20">
        <v>1</v>
      </c>
      <c r="D1151" s="125"/>
      <c r="E1151" s="22" t="s">
        <v>26</v>
      </c>
      <c r="F1151" s="23"/>
    </row>
    <row r="1152" spans="1:6" ht="17.25" thickBot="1" x14ac:dyDescent="0.3">
      <c r="A1152" s="1"/>
      <c r="B1152" s="1"/>
      <c r="C1152" s="1"/>
      <c r="D1152" s="1"/>
      <c r="E1152" s="1"/>
      <c r="F1152" s="1"/>
    </row>
    <row r="1153" spans="1:6" x14ac:dyDescent="0.25">
      <c r="A1153" s="45" t="s">
        <v>27</v>
      </c>
      <c r="B1153" s="45" t="s">
        <v>28</v>
      </c>
      <c r="C1153" s="45" t="s">
        <v>29</v>
      </c>
      <c r="D1153" s="45" t="s">
        <v>30</v>
      </c>
      <c r="E1153" s="45" t="s">
        <v>31</v>
      </c>
      <c r="F1153" s="45" t="s">
        <v>32</v>
      </c>
    </row>
    <row r="1154" spans="1:6" x14ac:dyDescent="0.25">
      <c r="A1154" s="68">
        <v>90101603</v>
      </c>
      <c r="B1154" s="69" t="s">
        <v>336</v>
      </c>
      <c r="C1154" s="68" t="s">
        <v>68</v>
      </c>
      <c r="D1154" s="68">
        <v>1</v>
      </c>
      <c r="E1154" s="81">
        <v>50000</v>
      </c>
      <c r="F1154" s="56">
        <f>D1154*E1154</f>
        <v>50000</v>
      </c>
    </row>
    <row r="1157" spans="1:6" ht="15.75" thickBot="1" x14ac:dyDescent="0.3"/>
    <row r="1158" spans="1:6" ht="45.75" thickBot="1" x14ac:dyDescent="0.3">
      <c r="A1158" s="37" t="s">
        <v>41</v>
      </c>
      <c r="B1158" s="37" t="s">
        <v>42</v>
      </c>
      <c r="C1158" s="37" t="s">
        <v>43</v>
      </c>
      <c r="D1158" s="37" t="s">
        <v>44</v>
      </c>
      <c r="E1158" s="37" t="s">
        <v>45</v>
      </c>
      <c r="F1158" s="37" t="s">
        <v>46</v>
      </c>
    </row>
    <row r="1159" spans="1:6" ht="30.75" thickBot="1" x14ac:dyDescent="0.3">
      <c r="A1159" s="32" t="s">
        <v>332</v>
      </c>
      <c r="B1159" s="32" t="s">
        <v>329</v>
      </c>
      <c r="C1159" s="33" t="s">
        <v>237</v>
      </c>
      <c r="D1159" s="32" t="s">
        <v>238</v>
      </c>
      <c r="E1159" s="33" t="s">
        <v>51</v>
      </c>
      <c r="F1159" s="33"/>
    </row>
    <row r="1160" spans="1:6" ht="15.75" thickBot="1" x14ac:dyDescent="0.3">
      <c r="A1160" s="123" t="s">
        <v>16</v>
      </c>
      <c r="B1160" s="20" t="s">
        <v>17</v>
      </c>
      <c r="C1160" s="21">
        <v>44962</v>
      </c>
      <c r="D1160" s="123" t="s">
        <v>18</v>
      </c>
      <c r="E1160" s="22" t="s">
        <v>19</v>
      </c>
      <c r="F1160" s="23" t="s">
        <v>20</v>
      </c>
    </row>
    <row r="1161" spans="1:6" ht="15.75" thickBot="1" x14ac:dyDescent="0.3">
      <c r="A1161" s="124"/>
      <c r="B1161" s="20" t="s">
        <v>21</v>
      </c>
      <c r="C1161" s="20">
        <v>1</v>
      </c>
      <c r="D1161" s="124"/>
      <c r="E1161" s="22" t="s">
        <v>22</v>
      </c>
      <c r="F1161" s="23" t="s">
        <v>23</v>
      </c>
    </row>
    <row r="1162" spans="1:6" ht="15.75" thickBot="1" x14ac:dyDescent="0.3">
      <c r="A1162" s="124"/>
      <c r="B1162" s="20" t="s">
        <v>24</v>
      </c>
      <c r="C1162" s="21">
        <v>44982</v>
      </c>
      <c r="D1162" s="124"/>
      <c r="E1162" s="22" t="s">
        <v>25</v>
      </c>
      <c r="F1162" s="23"/>
    </row>
    <row r="1163" spans="1:6" ht="15.75" thickBot="1" x14ac:dyDescent="0.3">
      <c r="A1163" s="125"/>
      <c r="B1163" s="20" t="s">
        <v>21</v>
      </c>
      <c r="C1163" s="20">
        <v>1</v>
      </c>
      <c r="D1163" s="125"/>
      <c r="E1163" s="22" t="s">
        <v>26</v>
      </c>
      <c r="F1163" s="23"/>
    </row>
    <row r="1164" spans="1:6" ht="17.25" thickBot="1" x14ac:dyDescent="0.3">
      <c r="A1164" s="1"/>
      <c r="B1164" s="1"/>
      <c r="C1164" s="1"/>
      <c r="D1164" s="1"/>
      <c r="E1164" s="1"/>
      <c r="F1164" s="1"/>
    </row>
    <row r="1165" spans="1:6" x14ac:dyDescent="0.25">
      <c r="A1165" s="45" t="s">
        <v>27</v>
      </c>
      <c r="B1165" s="45" t="s">
        <v>28</v>
      </c>
      <c r="C1165" s="45" t="s">
        <v>29</v>
      </c>
      <c r="D1165" s="45" t="s">
        <v>30</v>
      </c>
      <c r="E1165" s="45" t="s">
        <v>31</v>
      </c>
      <c r="F1165" s="45" t="s">
        <v>32</v>
      </c>
    </row>
    <row r="1166" spans="1:6" x14ac:dyDescent="0.25">
      <c r="A1166" s="68">
        <v>90101603</v>
      </c>
      <c r="B1166" s="69" t="s">
        <v>336</v>
      </c>
      <c r="C1166" s="68" t="s">
        <v>68</v>
      </c>
      <c r="D1166" s="68">
        <v>1</v>
      </c>
      <c r="E1166" s="81">
        <v>50000</v>
      </c>
      <c r="F1166" s="56">
        <f>D1166*E1166</f>
        <v>50000</v>
      </c>
    </row>
    <row r="1169" spans="1:6" ht="15.75" thickBot="1" x14ac:dyDescent="0.3"/>
    <row r="1170" spans="1:6" ht="45.75" thickBot="1" x14ac:dyDescent="0.3">
      <c r="A1170" s="37" t="s">
        <v>41</v>
      </c>
      <c r="B1170" s="37" t="s">
        <v>42</v>
      </c>
      <c r="C1170" s="37" t="s">
        <v>43</v>
      </c>
      <c r="D1170" s="37" t="s">
        <v>44</v>
      </c>
      <c r="E1170" s="37" t="s">
        <v>45</v>
      </c>
      <c r="F1170" s="37" t="s">
        <v>46</v>
      </c>
    </row>
    <row r="1171" spans="1:6" ht="30.75" thickBot="1" x14ac:dyDescent="0.3">
      <c r="A1171" s="32" t="s">
        <v>333</v>
      </c>
      <c r="B1171" s="32" t="s">
        <v>329</v>
      </c>
      <c r="C1171" s="33" t="s">
        <v>237</v>
      </c>
      <c r="D1171" s="32" t="s">
        <v>238</v>
      </c>
      <c r="E1171" s="33" t="s">
        <v>51</v>
      </c>
      <c r="F1171" s="33"/>
    </row>
    <row r="1172" spans="1:6" ht="15.75" thickBot="1" x14ac:dyDescent="0.3">
      <c r="A1172" s="123" t="s">
        <v>16</v>
      </c>
      <c r="B1172" s="20" t="s">
        <v>17</v>
      </c>
      <c r="C1172" s="21">
        <v>44962</v>
      </c>
      <c r="D1172" s="123" t="s">
        <v>18</v>
      </c>
      <c r="E1172" s="22" t="s">
        <v>19</v>
      </c>
      <c r="F1172" s="23" t="s">
        <v>20</v>
      </c>
    </row>
    <row r="1173" spans="1:6" ht="15.75" thickBot="1" x14ac:dyDescent="0.3">
      <c r="A1173" s="124"/>
      <c r="B1173" s="20" t="s">
        <v>21</v>
      </c>
      <c r="C1173" s="20">
        <v>1</v>
      </c>
      <c r="D1173" s="124"/>
      <c r="E1173" s="22" t="s">
        <v>22</v>
      </c>
      <c r="F1173" s="23" t="s">
        <v>23</v>
      </c>
    </row>
    <row r="1174" spans="1:6" ht="15.75" thickBot="1" x14ac:dyDescent="0.3">
      <c r="A1174" s="124"/>
      <c r="B1174" s="20" t="s">
        <v>24</v>
      </c>
      <c r="C1174" s="21">
        <v>44982</v>
      </c>
      <c r="D1174" s="124"/>
      <c r="E1174" s="22" t="s">
        <v>25</v>
      </c>
      <c r="F1174" s="23"/>
    </row>
    <row r="1175" spans="1:6" ht="15.75" thickBot="1" x14ac:dyDescent="0.3">
      <c r="A1175" s="125"/>
      <c r="B1175" s="20" t="s">
        <v>21</v>
      </c>
      <c r="C1175" s="20">
        <v>1</v>
      </c>
      <c r="D1175" s="125"/>
      <c r="E1175" s="22" t="s">
        <v>26</v>
      </c>
      <c r="F1175" s="23"/>
    </row>
    <row r="1176" spans="1:6" ht="17.25" thickBot="1" x14ac:dyDescent="0.3">
      <c r="A1176" s="1"/>
      <c r="B1176" s="1"/>
      <c r="C1176" s="1"/>
      <c r="D1176" s="1"/>
      <c r="E1176" s="1"/>
      <c r="F1176" s="1"/>
    </row>
    <row r="1177" spans="1:6" x14ac:dyDescent="0.25">
      <c r="A1177" s="45" t="s">
        <v>27</v>
      </c>
      <c r="B1177" s="45" t="s">
        <v>28</v>
      </c>
      <c r="C1177" s="45" t="s">
        <v>29</v>
      </c>
      <c r="D1177" s="45" t="s">
        <v>30</v>
      </c>
      <c r="E1177" s="45" t="s">
        <v>31</v>
      </c>
      <c r="F1177" s="45" t="s">
        <v>32</v>
      </c>
    </row>
    <row r="1178" spans="1:6" x14ac:dyDescent="0.25">
      <c r="A1178" s="68">
        <v>90101603</v>
      </c>
      <c r="B1178" s="69" t="s">
        <v>336</v>
      </c>
      <c r="C1178" s="68" t="s">
        <v>68</v>
      </c>
      <c r="D1178" s="68">
        <v>1</v>
      </c>
      <c r="E1178" s="81">
        <v>50000</v>
      </c>
      <c r="F1178" s="56">
        <f>D1178*E1178</f>
        <v>50000</v>
      </c>
    </row>
    <row r="1179" spans="1:6" ht="26.25" customHeight="1" x14ac:dyDescent="0.25"/>
    <row r="1181" spans="1:6" ht="30" customHeight="1" thickBot="1" x14ac:dyDescent="0.3"/>
    <row r="1182" spans="1:6" ht="45.75" thickBot="1" x14ac:dyDescent="0.3">
      <c r="A1182" s="37" t="s">
        <v>41</v>
      </c>
      <c r="B1182" s="37" t="s">
        <v>42</v>
      </c>
      <c r="C1182" s="37" t="s">
        <v>43</v>
      </c>
      <c r="D1182" s="37" t="s">
        <v>44</v>
      </c>
      <c r="E1182" s="37" t="s">
        <v>45</v>
      </c>
      <c r="F1182" s="37" t="s">
        <v>46</v>
      </c>
    </row>
    <row r="1183" spans="1:6" ht="30.75" thickBot="1" x14ac:dyDescent="0.3">
      <c r="A1183" s="32" t="s">
        <v>334</v>
      </c>
      <c r="B1183" s="32" t="s">
        <v>329</v>
      </c>
      <c r="C1183" s="33" t="s">
        <v>237</v>
      </c>
      <c r="D1183" s="32" t="s">
        <v>238</v>
      </c>
      <c r="E1183" s="33" t="s">
        <v>51</v>
      </c>
      <c r="F1183" s="33"/>
    </row>
    <row r="1184" spans="1:6" ht="15.75" thickBot="1" x14ac:dyDescent="0.3">
      <c r="A1184" s="123" t="s">
        <v>16</v>
      </c>
      <c r="B1184" s="20" t="s">
        <v>17</v>
      </c>
      <c r="C1184" s="21">
        <v>44962</v>
      </c>
      <c r="D1184" s="123" t="s">
        <v>18</v>
      </c>
      <c r="E1184" s="22" t="s">
        <v>19</v>
      </c>
      <c r="F1184" s="23" t="s">
        <v>20</v>
      </c>
    </row>
    <row r="1185" spans="1:6" ht="15.75" thickBot="1" x14ac:dyDescent="0.3">
      <c r="A1185" s="124"/>
      <c r="B1185" s="20" t="s">
        <v>21</v>
      </c>
      <c r="C1185" s="20">
        <v>1</v>
      </c>
      <c r="D1185" s="124"/>
      <c r="E1185" s="22" t="s">
        <v>22</v>
      </c>
      <c r="F1185" s="23" t="s">
        <v>23</v>
      </c>
    </row>
    <row r="1186" spans="1:6" ht="15.75" thickBot="1" x14ac:dyDescent="0.3">
      <c r="A1186" s="124"/>
      <c r="B1186" s="20" t="s">
        <v>24</v>
      </c>
      <c r="C1186" s="21">
        <v>44982</v>
      </c>
      <c r="D1186" s="124"/>
      <c r="E1186" s="22" t="s">
        <v>25</v>
      </c>
      <c r="F1186" s="23"/>
    </row>
    <row r="1187" spans="1:6" ht="15.75" thickBot="1" x14ac:dyDescent="0.3">
      <c r="A1187" s="125"/>
      <c r="B1187" s="20" t="s">
        <v>21</v>
      </c>
      <c r="C1187" s="20">
        <v>1</v>
      </c>
      <c r="D1187" s="125"/>
      <c r="E1187" s="22" t="s">
        <v>26</v>
      </c>
      <c r="F1187" s="23"/>
    </row>
    <row r="1188" spans="1:6" ht="17.25" thickBot="1" x14ac:dyDescent="0.3">
      <c r="A1188" s="1"/>
      <c r="B1188" s="1"/>
      <c r="C1188" s="1"/>
      <c r="D1188" s="1"/>
      <c r="E1188" s="1"/>
      <c r="F1188" s="1"/>
    </row>
    <row r="1189" spans="1:6" x14ac:dyDescent="0.25">
      <c r="A1189" s="45" t="s">
        <v>27</v>
      </c>
      <c r="B1189" s="45" t="s">
        <v>28</v>
      </c>
      <c r="C1189" s="45" t="s">
        <v>29</v>
      </c>
      <c r="D1189" s="45" t="s">
        <v>30</v>
      </c>
      <c r="E1189" s="45" t="s">
        <v>31</v>
      </c>
      <c r="F1189" s="45" t="s">
        <v>32</v>
      </c>
    </row>
    <row r="1190" spans="1:6" x14ac:dyDescent="0.25">
      <c r="A1190" s="68">
        <v>90101603</v>
      </c>
      <c r="B1190" s="69" t="s">
        <v>336</v>
      </c>
      <c r="C1190" s="68" t="s">
        <v>68</v>
      </c>
      <c r="D1190" s="68">
        <v>1</v>
      </c>
      <c r="E1190" s="81">
        <v>50000</v>
      </c>
      <c r="F1190" s="56">
        <f>D1190*E1190</f>
        <v>50000</v>
      </c>
    </row>
    <row r="1193" spans="1:6" ht="15.75" thickBot="1" x14ac:dyDescent="0.3"/>
    <row r="1194" spans="1:6" ht="45.75" thickBot="1" x14ac:dyDescent="0.3">
      <c r="A1194" s="37" t="s">
        <v>41</v>
      </c>
      <c r="B1194" s="37" t="s">
        <v>42</v>
      </c>
      <c r="C1194" s="37" t="s">
        <v>43</v>
      </c>
      <c r="D1194" s="37" t="s">
        <v>44</v>
      </c>
      <c r="E1194" s="37" t="s">
        <v>45</v>
      </c>
      <c r="F1194" s="37" t="s">
        <v>46</v>
      </c>
    </row>
    <row r="1195" spans="1:6" ht="30.75" thickBot="1" x14ac:dyDescent="0.3">
      <c r="A1195" s="32" t="s">
        <v>343</v>
      </c>
      <c r="B1195" s="32" t="s">
        <v>343</v>
      </c>
      <c r="C1195" s="33" t="s">
        <v>251</v>
      </c>
      <c r="D1195" s="32" t="s">
        <v>245</v>
      </c>
      <c r="E1195" s="33" t="s">
        <v>51</v>
      </c>
      <c r="F1195" s="33"/>
    </row>
    <row r="1196" spans="1:6" ht="15.75" thickBot="1" x14ac:dyDescent="0.3">
      <c r="A1196" s="123" t="s">
        <v>16</v>
      </c>
      <c r="B1196" s="20" t="s">
        <v>17</v>
      </c>
      <c r="C1196" s="21">
        <v>45265</v>
      </c>
      <c r="D1196" s="123" t="s">
        <v>18</v>
      </c>
      <c r="E1196" s="22" t="s">
        <v>19</v>
      </c>
      <c r="F1196" s="23" t="s">
        <v>20</v>
      </c>
    </row>
    <row r="1197" spans="1:6" ht="15.75" thickBot="1" x14ac:dyDescent="0.3">
      <c r="A1197" s="124"/>
      <c r="B1197" s="20" t="s">
        <v>21</v>
      </c>
      <c r="C1197" s="20">
        <v>4</v>
      </c>
      <c r="D1197" s="124"/>
      <c r="E1197" s="22" t="s">
        <v>22</v>
      </c>
      <c r="F1197" s="23" t="s">
        <v>23</v>
      </c>
    </row>
    <row r="1198" spans="1:6" ht="15.75" thickBot="1" x14ac:dyDescent="0.3">
      <c r="A1198" s="124"/>
      <c r="B1198" s="20" t="s">
        <v>24</v>
      </c>
      <c r="C1198" s="21">
        <v>45265</v>
      </c>
      <c r="D1198" s="124"/>
      <c r="E1198" s="22" t="s">
        <v>25</v>
      </c>
      <c r="F1198" s="23"/>
    </row>
    <row r="1199" spans="1:6" ht="15.75" thickBot="1" x14ac:dyDescent="0.3">
      <c r="A1199" s="125"/>
      <c r="B1199" s="20" t="s">
        <v>21</v>
      </c>
      <c r="C1199" s="20">
        <v>4</v>
      </c>
      <c r="D1199" s="125"/>
      <c r="E1199" s="22" t="s">
        <v>26</v>
      </c>
      <c r="F1199" s="23"/>
    </row>
    <row r="1200" spans="1:6" ht="17.25" thickBot="1" x14ac:dyDescent="0.3">
      <c r="A1200" s="1"/>
      <c r="B1200" s="1"/>
      <c r="C1200" s="1"/>
      <c r="D1200" s="1"/>
      <c r="E1200" s="1"/>
      <c r="F1200" s="1"/>
    </row>
    <row r="1201" spans="1:6" x14ac:dyDescent="0.25">
      <c r="A1201" s="45" t="s">
        <v>27</v>
      </c>
      <c r="B1201" s="45" t="s">
        <v>28</v>
      </c>
      <c r="C1201" s="45" t="s">
        <v>29</v>
      </c>
      <c r="D1201" s="45" t="s">
        <v>30</v>
      </c>
      <c r="E1201" s="45" t="s">
        <v>31</v>
      </c>
      <c r="F1201" s="45" t="s">
        <v>32</v>
      </c>
    </row>
    <row r="1202" spans="1:6" x14ac:dyDescent="0.25">
      <c r="A1202" s="68">
        <v>43231512</v>
      </c>
      <c r="B1202" s="72" t="s">
        <v>344</v>
      </c>
      <c r="C1202" s="68" t="s">
        <v>68</v>
      </c>
      <c r="D1202" s="70">
        <v>1</v>
      </c>
      <c r="E1202" s="81">
        <v>100000</v>
      </c>
      <c r="F1202" s="56">
        <f>Table410141817283032163134353741454951535559224427434648525462636471727374798038[[#This Row],[PRECIO UNITARIO ESTIMADO]]*Table410141817283032163134353741454951535559224427434648525462636471727374798038[[#This Row],[CANTIDAD TOTAL ESTIMADA]]</f>
        <v>100000</v>
      </c>
    </row>
    <row r="1203" spans="1:6" ht="16.5" x14ac:dyDescent="0.25">
      <c r="A1203" s="1"/>
      <c r="B1203" s="1"/>
      <c r="C1203" s="1"/>
      <c r="D1203" s="1"/>
      <c r="E1203" s="49" t="s">
        <v>40</v>
      </c>
      <c r="F1203" s="50">
        <f>SUM(F1202:F1202)</f>
        <v>100000</v>
      </c>
    </row>
  </sheetData>
  <protectedRanges>
    <protectedRange sqref="F7" name="Rango3_5"/>
    <protectedRange sqref="E13:E14" name="Rango2_5"/>
  </protectedRanges>
  <mergeCells count="156">
    <mergeCell ref="A1076:A1079"/>
    <mergeCell ref="D1076:D1079"/>
    <mergeCell ref="A1088:A1091"/>
    <mergeCell ref="D1088:D1091"/>
    <mergeCell ref="A3:A6"/>
    <mergeCell ref="B4:E4"/>
    <mergeCell ref="B5:E5"/>
    <mergeCell ref="E8:F8"/>
    <mergeCell ref="E9:F9"/>
    <mergeCell ref="E10:F10"/>
    <mergeCell ref="A1048:A1051"/>
    <mergeCell ref="D1048:D1051"/>
    <mergeCell ref="A1061:A1064"/>
    <mergeCell ref="D1061:D1064"/>
    <mergeCell ref="A31:A34"/>
    <mergeCell ref="D31:D34"/>
    <mergeCell ref="A46:A49"/>
    <mergeCell ref="D46:D49"/>
    <mergeCell ref="A62:A65"/>
    <mergeCell ref="D62:D65"/>
    <mergeCell ref="E11:F11"/>
    <mergeCell ref="E12:F12"/>
    <mergeCell ref="A160:A163"/>
    <mergeCell ref="D160:D163"/>
    <mergeCell ref="A173:A176"/>
    <mergeCell ref="D173:D176"/>
    <mergeCell ref="A186:A189"/>
    <mergeCell ref="D186:D189"/>
    <mergeCell ref="E13:F13"/>
    <mergeCell ref="E14:F14"/>
    <mergeCell ref="A16:A19"/>
    <mergeCell ref="D16:D19"/>
    <mergeCell ref="A121:A124"/>
    <mergeCell ref="D121:D124"/>
    <mergeCell ref="A136:A139"/>
    <mergeCell ref="D136:D139"/>
    <mergeCell ref="A148:A151"/>
    <mergeCell ref="D148:D151"/>
    <mergeCell ref="A78:A81"/>
    <mergeCell ref="D78:D81"/>
    <mergeCell ref="A92:A95"/>
    <mergeCell ref="D92:D95"/>
    <mergeCell ref="A106:A109"/>
    <mergeCell ref="D106:D109"/>
    <mergeCell ref="A260:A263"/>
    <mergeCell ref="D260:D263"/>
    <mergeCell ref="A280:A283"/>
    <mergeCell ref="D280:D283"/>
    <mergeCell ref="A308:A311"/>
    <mergeCell ref="D308:D311"/>
    <mergeCell ref="A200:A203"/>
    <mergeCell ref="D200:D203"/>
    <mergeCell ref="A220:A223"/>
    <mergeCell ref="D220:D223"/>
    <mergeCell ref="A240:A243"/>
    <mergeCell ref="D240:D243"/>
    <mergeCell ref="A432:A435"/>
    <mergeCell ref="D432:D435"/>
    <mergeCell ref="A468:A471"/>
    <mergeCell ref="D468:D471"/>
    <mergeCell ref="A504:A507"/>
    <mergeCell ref="D504:D507"/>
    <mergeCell ref="A337:A340"/>
    <mergeCell ref="D337:D340"/>
    <mergeCell ref="A367:A370"/>
    <mergeCell ref="D367:D370"/>
    <mergeCell ref="A395:A398"/>
    <mergeCell ref="D395:D398"/>
    <mergeCell ref="A613:A616"/>
    <mergeCell ref="D613:D616"/>
    <mergeCell ref="A627:A630"/>
    <mergeCell ref="D627:D630"/>
    <mergeCell ref="A640:A643"/>
    <mergeCell ref="D640:D643"/>
    <mergeCell ref="A539:A542"/>
    <mergeCell ref="D539:D542"/>
    <mergeCell ref="A569:A572"/>
    <mergeCell ref="D569:D572"/>
    <mergeCell ref="A599:A602"/>
    <mergeCell ref="D599:D602"/>
    <mergeCell ref="A738:A741"/>
    <mergeCell ref="D738:D741"/>
    <mergeCell ref="A698:A701"/>
    <mergeCell ref="D698:D701"/>
    <mergeCell ref="A714:A717"/>
    <mergeCell ref="D714:D717"/>
    <mergeCell ref="A726:A729"/>
    <mergeCell ref="D726:D729"/>
    <mergeCell ref="A656:A659"/>
    <mergeCell ref="D656:D659"/>
    <mergeCell ref="A668:A671"/>
    <mergeCell ref="D668:D671"/>
    <mergeCell ref="A681:A684"/>
    <mergeCell ref="D681:D684"/>
    <mergeCell ref="A799:A802"/>
    <mergeCell ref="D799:D802"/>
    <mergeCell ref="A811:A814"/>
    <mergeCell ref="D811:D814"/>
    <mergeCell ref="A754:A757"/>
    <mergeCell ref="D754:D757"/>
    <mergeCell ref="A775:A778"/>
    <mergeCell ref="D775:D778"/>
    <mergeCell ref="A786:A789"/>
    <mergeCell ref="D786:D789"/>
    <mergeCell ref="A846:A849"/>
    <mergeCell ref="D846:D849"/>
    <mergeCell ref="A858:A861"/>
    <mergeCell ref="D858:D861"/>
    <mergeCell ref="A872:A875"/>
    <mergeCell ref="D872:D875"/>
    <mergeCell ref="A823:A826"/>
    <mergeCell ref="D823:D826"/>
    <mergeCell ref="A835:A838"/>
    <mergeCell ref="D835:D838"/>
    <mergeCell ref="A938:A941"/>
    <mergeCell ref="D938:D941"/>
    <mergeCell ref="A954:A957"/>
    <mergeCell ref="D954:D957"/>
    <mergeCell ref="A965:A968"/>
    <mergeCell ref="D965:D968"/>
    <mergeCell ref="A926:A929"/>
    <mergeCell ref="D926:D929"/>
    <mergeCell ref="A888:A891"/>
    <mergeCell ref="D888:D891"/>
    <mergeCell ref="A912:A915"/>
    <mergeCell ref="D912:D915"/>
    <mergeCell ref="A1013:A1016"/>
    <mergeCell ref="D1013:D1016"/>
    <mergeCell ref="A1025:A1028"/>
    <mergeCell ref="D1025:D1028"/>
    <mergeCell ref="A1037:A1040"/>
    <mergeCell ref="D1037:D1040"/>
    <mergeCell ref="A976:A979"/>
    <mergeCell ref="D976:D979"/>
    <mergeCell ref="A987:A990"/>
    <mergeCell ref="D987:D990"/>
    <mergeCell ref="A1001:A1004"/>
    <mergeCell ref="D1001:D1004"/>
    <mergeCell ref="A1160:A1163"/>
    <mergeCell ref="D1160:D1163"/>
    <mergeCell ref="A1172:A1175"/>
    <mergeCell ref="D1172:D1175"/>
    <mergeCell ref="A1184:A1187"/>
    <mergeCell ref="D1184:D1187"/>
    <mergeCell ref="A1196:A1199"/>
    <mergeCell ref="D1196:D1199"/>
    <mergeCell ref="A1101:A1104"/>
    <mergeCell ref="D1101:D1104"/>
    <mergeCell ref="A1113:A1116"/>
    <mergeCell ref="D1113:D1116"/>
    <mergeCell ref="A1125:A1128"/>
    <mergeCell ref="D1125:D1128"/>
    <mergeCell ref="A1136:A1139"/>
    <mergeCell ref="D1136:D1139"/>
    <mergeCell ref="A1148:A1151"/>
    <mergeCell ref="D1148:D1151"/>
  </mergeCells>
  <dataValidations count="13">
    <dataValidation type="whole" allowBlank="1" showInputMessage="1" showErrorMessage="1" sqref="E13:F13" xr:uid="{DEFA3A93-6D54-4F10-A3D0-4C814F416F47}">
      <formula1>1900</formula1>
      <formula2>3000</formula2>
    </dataValidation>
    <dataValidation type="date" operator="greaterThan" allowBlank="1" showInputMessage="1" showErrorMessage="1" sqref="E14:F14" xr:uid="{3B745B53-9F88-4E8F-8BB2-E4823EC7DF82}">
      <formula1>36526</formula1>
    </dataValidation>
    <dataValidation operator="greaterThan" allowBlank="1" showInputMessage="1" showErrorMessage="1" sqref="E12:F12" xr:uid="{939B0B47-7AFC-47AE-8A9C-F5FE1AB1767B}"/>
    <dataValidation type="decimal" operator="greaterThan" allowBlank="1" showInputMessage="1" showErrorMessage="1" sqref="D22:E26 D52:E56 D68:E72 D154:E155 D166:E167 D179:E180 D142:E143 D192:E194 D206:E211 E212:E214 E760:E769 D373:E375 D226:E231 E232:E234 D246:E251 E252:E254 D286:E288 E289:E302 D37:E41 E317:E330 D314:E316 E346:E359 D343:E345 E376:E389 D401:E404 E405:E424 D438:E441 E442:E461 D474:E477 E478:E497 D510:E513 E514:E533 D545:E548 E563 E549:E561 D575:E578 E593 E579:E591 D605:E606 E607 D619:E620 E621 D633:E633 E634 D646:E650 E651 D662:E663 D674:E675 D704:E708 D732:E733 D720:E721 D744:E746 D266:E271 E272:E274 E781:E782 E792:E795 E817:E818 E829:E830 E841:E842 E852:E854 E864:E867 E894:E906 E918:E921 E1043 E960:E961 E971:E972 E982:E983 E993:E997 E1007:E1008 E1019:E1020 E1031 E944:E949 F946 E1054:E1055 E1067:E1070 E1082:E1083 D1094:E1094 D98:E101 D84:E87 D112:E116 D127:E131 D687:E692 E878:E882 E932:E933 E935 E1107 E1119 E1131 E1142 E1154 E1166 E1178 E1190 E805:E806 E1202:E1203" xr:uid="{CAF97923-40ED-4CAA-A784-3E70B3AC1126}">
      <formula1>0</formula1>
    </dataValidation>
    <dataValidation type="whole" operator="greaterThan" allowBlank="1" showInputMessage="1" showErrorMessage="1" sqref="A37:A41 A143 A22:A26 A155 A167 A180 A52:A56 A68:A72 A1094 A98:A101 A84:A87 A112:A116 A127:A131" xr:uid="{2FCFB83E-4793-47E2-B0CE-B4448E61FD17}">
      <formula1>0</formula1>
    </dataValidation>
    <dataValidation type="list" allowBlank="1" showInputMessage="1" showErrorMessage="1" sqref="F19 F34 F49 F65 F81 F95 F109 F124 F139 F151 F163 F176 F189 F203 F223 F243 F263 F283 F311 F340 F370 F398 F435 F471 F507 F542 F572 F602 F616 F630 F643 F659 F671 F684 F701 F729 F717 F741 F757 F778 F789 F802 F814 F826 F838 F849 F861 F875 F891 F915 F929 F1040 F957 F968 F979 F990 F1004 F1016 F1028 F941 F1051 F1064 F1079 F1091 F1104 F1116 F1128 F1139 F1151 F1163 F1175 F1187 F1199" xr:uid="{D888F144-2899-4CAC-9701-3F8A71C79C0C}">
      <formula1>OFFSET(MunicipioStart,MATCH(INDIRECT(ADDRESS(ROW()-1,COLUMN(),4)),MunicipioColumn,0)-1,1,COUNTIF(MunicipioColumn,INDIRECT(ADDRESS(ROW()-1,COLUMN(),4))),1)</formula1>
    </dataValidation>
    <dataValidation type="list" allowBlank="1" showInputMessage="1" showErrorMessage="1" sqref="F18 F33 F48 F64 F80 F94 F108 F123 F138 F150 F162 F175 F188 F202 F222 F242 F262 F282 F310 F339 F369 F397 F434 F470 F506 F541 F571 F601 F615 F629 F642 F658 F670 F683 F700 F728 F716 F740 F756 F777 F788 F801 F813 F825 F837 F848 F860 F874 F890 F914 F928 F1039 F956 F967 F978 F989 F1003 F1015 F1027 F940 F1050 F1063 F1078 F1103 F1115 F1127 F1138 F1150 F1162 F1174 F1186 F1198" xr:uid="{5F2353A4-F20D-45CF-8FEF-F6FA396342E4}">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7 F32 F47 F63 F79 F93 F107 F122 F137 F149 F161 F174 F187 F201 F221 F241 F261 F281 F309 F338 F368 F396 F433 F469 F505 F540 F570 F600 F614 F628 F641 F657 F669 F682 F699 F727 F715 F739 F755 F776 F787 F800 F812 F824 F836 F847 F859 F873 F889 F913 F927 F1038 F955 F966 F977 F988 F1002 F1014 F1026 F939 F1049 F1062 F1077 F1089 F1102 F1114 F1126 F1137 F1149 F1161 F1173 F1185 F1197" xr:uid="{B1808097-9F3F-43E9-BE27-497717232B06}">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6 F31 F46 F62 F78 F92 F106 F121 F136 F148 F160 F173 F186 F200 F220 F240 F260 F280 F308 F337 F367 F395 F432 F468 F504 F539 F569 F599 F613 F627 F640 F656 F668 F681 F698 F726 F714 F738 F754 F775 F786 F799 F811 F823 F835 F846 F858 F872 F888 F912 F926 F1037 F954 F965 F976 F987 F1001 F1013 F1025 F938 F1048 F1061 F1076 F1088 F1101 F1113 F1125 F1136 F1148 F1160 F1172 F1184 F1196" xr:uid="{38CEE430-C6DE-49D8-8DCB-9B7CEC3D3976}">
      <formula1>IF(INDIRECT(ADDRESS(ROW()+1,COLUMN(),4))="",RegionList,INDEX(RegionColumn,MATCH(INDIRECT(ADDRESS(ROW()+1,COLUMN(),4)),ProvinciaList,0)))</formula1>
    </dataValidation>
    <dataValidation type="list" allowBlank="1" showInputMessage="1" showErrorMessage="1" sqref="C1094" xr:uid="{553D560E-2408-424B-9FB4-CA27E130A918}">
      <formula1>UnidadesList</formula1>
    </dataValidation>
    <dataValidation type="date" operator="greaterThanOrEqual" allowBlank="1" showInputMessage="1" showErrorMessage="1" sqref="C1090" xr:uid="{A3AF9C05-7BF0-449A-AD72-9C7981BF75FF}">
      <formula1>C1088</formula1>
    </dataValidation>
    <dataValidation type="date" operator="lessThanOrEqual" allowBlank="1" showInputMessage="1" showErrorMessage="1" sqref="C1088" xr:uid="{8CAB256A-347D-49AA-934A-196EA6F33791}">
      <formula1>C1090</formula1>
    </dataValidation>
    <dataValidation type="list" allowBlank="1" showInputMessage="1" showErrorMessage="1" sqref="F1090" xr:uid="{74B8A0F2-A237-491E-921E-ECCA48EFBCD6}">
      <formula1>IF(INDIRECT(ADDRESS(ROW()+1,COLUMN(),4))="",OFFSET(u,MATCH(INDIRECT(ADDRESS(ROW()-1,COLUMN(),4)),ProvinciaColumn,0)-1,1,COUNTIF(ProvinciaColumn,INDIRECT(ADDRESS(ROW()-1,COLUMN(),4))),1),INDEX(MunicipioColumn,MATCH(INDIRECT(ADDRESS(ROW()+1,COLUMN(),4)),DistritoList,0)))</formula1>
    </dataValidation>
  </dataValidations>
  <pageMargins left="0.23622047244094491" right="0.23622047244094491" top="0.74803149606299213" bottom="0.74803149606299213" header="0.31496062992125984" footer="0.31496062992125984"/>
  <pageSetup scale="60" fitToHeight="0" orientation="portrait" r:id="rId1"/>
  <drawing r:id="rId2"/>
  <legacyDrawing r:id="rId3"/>
  <tableParts count="59">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4901-A4BA-47F8-A8A5-BED1313ACD59}">
  <dimension ref="A1"/>
  <sheetViews>
    <sheetView workbookViewId="0">
      <selection activeCell="B4" sqref="B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Rosado</dc:creator>
  <cp:lastModifiedBy>Elizabeth Rosado</cp:lastModifiedBy>
  <cp:lastPrinted>2023-02-20T15:59:05Z</cp:lastPrinted>
  <dcterms:created xsi:type="dcterms:W3CDTF">2022-12-06T14:24:13Z</dcterms:created>
  <dcterms:modified xsi:type="dcterms:W3CDTF">2023-02-20T19:47:46Z</dcterms:modified>
</cp:coreProperties>
</file>